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6" activeTab="7"/>
  </bookViews>
  <sheets>
    <sheet name="Sommaire" sheetId="1" r:id="rId1"/>
    <sheet name="HCMQAP136_pos1ap2" sheetId="2" r:id="rId2"/>
    <sheet name="HCMQAP136_pos2ap2" sheetId="3" r:id="rId3"/>
    <sheet name="HCMQAP136_pos3ap2" sheetId="4" r:id="rId4"/>
    <sheet name="HCMQAP136_pos4ap2" sheetId="5" r:id="rId5"/>
    <sheet name="HCMQAP136_pos5ap2" sheetId="6" r:id="rId6"/>
    <sheet name="Lmag_hcmqap" sheetId="7" r:id="rId7"/>
    <sheet name="Result_HCMQAP" sheetId="8" r:id="rId8"/>
  </sheets>
  <definedNames>
    <definedName name="_xlnm.Print_Area" localSheetId="1">'HCMQAP136_pos1ap2'!$A$1:$N$28</definedName>
    <definedName name="_xlnm.Print_Area" localSheetId="2">'HCMQAP136_pos2ap2'!$A$1:$N$28</definedName>
    <definedName name="_xlnm.Print_Area" localSheetId="3">'HCMQAP136_pos3ap2'!$A$1:$N$28</definedName>
    <definedName name="_xlnm.Print_Area" localSheetId="4">'HCMQAP136_pos4ap2'!$A$1:$N$28</definedName>
    <definedName name="_xlnm.Print_Area" localSheetId="5">'HCMQAP136_pos5ap2'!$A$1:$N$28</definedName>
    <definedName name="_xlnm.Print_Area" localSheetId="6">'Lmag_hcmqap'!$A$1:$G$54</definedName>
    <definedName name="_xlnm.Print_Area" localSheetId="0">'Sommaire'!$A$1:$N$16</definedName>
  </definedNames>
  <calcPr fullCalcOnLoad="1"/>
</workbook>
</file>

<file path=xl/sharedStrings.xml><?xml version="1.0" encoding="utf-8"?>
<sst xmlns="http://schemas.openxmlformats.org/spreadsheetml/2006/main" count="510" uniqueCount="190">
  <si>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</si>
  <si>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</si>
  <si>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</si>
  <si>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</si>
  <si>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</si>
  <si>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</si>
  <si>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</si>
  <si>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</si>
  <si>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</si>
  <si>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</si>
  <si>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</si>
  <si>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</si>
  <si>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</si>
  <si>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</si>
  <si>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</si>
  <si>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hcmqap136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</si>
  <si>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</si>
  <si>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</si>
  <si>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</si>
  <si>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</si>
  <si>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</si>
  <si>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</si>
  <si>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</si>
  <si>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</si>
  <si>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</si>
  <si>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</si>
  <si>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</si>
  <si>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</si>
  <si>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taupe_quadrupole#12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</si>
  <si>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</si>
  <si>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</si>
  <si>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</si>
  <si>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</si>
  <si>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</si>
  <si>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</si>
  <si>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</si>
  <si>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</si>
  <si>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</si>
  <si>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</si>
  <si>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</si>
  <si>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</si>
  <si>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</si>
  <si>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</si>
  <si>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</si>
  <si>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</si>
  <si>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</si>
  <si>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</si>
  <si>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</si>
  <si>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</si>
  <si>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</si>
  <si>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t>Sens du courant</t>
  </si>
  <si>
    <t>+I / -I</t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</si>
  <si>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</si>
  <si>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</si>
  <si>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</si>
  <si>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</si>
  <si>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</si>
  <si>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</si>
  <si>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</si>
  <si>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-2.257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</si>
  <si>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</si>
  <si>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</si>
  <si>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</si>
  <si>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</si>
  <si>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</si>
  <si>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</si>
  <si>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</si>
  <si>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</si>
  <si>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t>HCMQAP136_pos1ap2</t>
  </si>
  <si>
    <t>26/11/2003</t>
  </si>
  <si>
    <t>±12.5</t>
  </si>
  <si>
    <t>THCMQAP136_pos1ap2.xls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</si>
  <si>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-3.753 mT)</t>
    </r>
  </si>
  <si>
    <t>HCMQAP136_pos2ap2</t>
  </si>
  <si>
    <t>THCMQAP136_pos2ap2.xls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</si>
  <si>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-3.752 mT)</t>
    </r>
  </si>
  <si>
    <t>HCMQAP136_pos3ap2</t>
  </si>
  <si>
    <t>THCMQAP136_pos3ap2.xls</t>
  </si>
  <si>
    <t>HCMQAP136_pos4ap2</t>
  </si>
  <si>
    <t>THCMQAP136_pos4ap2.xls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</si>
  <si>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-2.081 mT)</t>
    </r>
  </si>
  <si>
    <t>HCMQAP136_pos5ap2</t>
  </si>
  <si>
    <t>THCMQAP136_pos5ap2.xls</t>
  </si>
  <si>
    <t>Sommaire : Valeurs intégrales calculées avec les fichiers: HCMQAP136_pos1ap2+HCMQAP136_pos2ap2+HCMQAP136_pos3ap2+HCMQAP136_pos4ap2+HCMQAP136_pos5ap2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</si>
  <si>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</si>
  <si>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</si>
  <si>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</si>
  <si>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</si>
  <si>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</si>
  <si>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</si>
  <si>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</si>
  <si>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</si>
  <si>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</si>
  <si>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</si>
  <si>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</si>
  <si>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</si>
  <si>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</si>
  <si>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</si>
  <si>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</si>
  <si>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</si>
  <si>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</si>
  <si>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</si>
  <si>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</si>
  <si>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</si>
  <si>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</si>
  <si>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</si>
  <si>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</si>
  <si>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</si>
  <si>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</si>
  <si>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</si>
  <si>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</si>
  <si>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</si>
  <si>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</si>
  <si>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</si>
  <si>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</si>
  <si>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</si>
  <si>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</si>
  <si>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</si>
  <si>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</si>
  <si>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</si>
  <si>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</si>
  <si>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</si>
  <si>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</si>
  <si>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</si>
  <si>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</si>
  <si>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</si>
  <si>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</si>
  <si>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=-3.753</t>
    </r>
  </si>
  <si>
    <t>Gradient (T/m)</t>
  </si>
  <si>
    <t xml:space="preserve"> Wed 26/11/2003       15:06:19</t>
  </si>
  <si>
    <t>SIEGMUND</t>
  </si>
  <si>
    <t>HCMQAP136</t>
  </si>
  <si>
    <t>Aperture2</t>
  </si>
  <si>
    <t>Position</t>
  </si>
  <si>
    <t>Integrales</t>
  </si>
  <si>
    <t>Cn (T)</t>
  </si>
  <si>
    <t>Angle (Horiz,Cn)</t>
  </si>
  <si>
    <t>b1</t>
  </si>
  <si>
    <t>b2</t>
  </si>
  <si>
    <t>b10!</t>
  </si>
  <si>
    <t>a1</t>
  </si>
  <si>
    <t>a2</t>
  </si>
  <si>
    <t>a6!</t>
  </si>
  <si>
    <t>Temp taupe (deg)</t>
  </si>
  <si>
    <t>Niv init (mrad)</t>
  </si>
  <si>
    <t>Dx moy (mm)</t>
  </si>
  <si>
    <t>Dy moy (mm)</t>
  </si>
  <si>
    <t>C2 centre (T)</t>
  </si>
  <si>
    <t>Long. Mag. (m)</t>
  </si>
  <si>
    <t>* = Integral error  ! = Central error           Conclusion : CONTACT CEA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</si>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</sst>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3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5" fillId="0" borderId="13" xfId="0" applyNumberFormat="1" applyFont="1" applyFill="1" applyBorder="1" applyAlignment="1">
      <alignment horizontal="left"/>
    </xf>
    <xf numFmtId="173" fontId="5" fillId="0" borderId="13" xfId="0" applyNumberFormat="1" applyFont="1" applyFill="1" applyBorder="1" applyAlignment="1">
      <alignment horizontal="center"/>
    </xf>
    <xf numFmtId="173" fontId="5" fillId="0" borderId="14" xfId="0" applyNumberFormat="1" applyFont="1" applyFill="1" applyBorder="1" applyAlignment="1">
      <alignment horizontal="center"/>
    </xf>
    <xf numFmtId="173" fontId="5" fillId="0" borderId="19" xfId="0" applyNumberFormat="1" applyFont="1" applyFill="1" applyBorder="1" applyAlignment="1">
      <alignment horizontal="center"/>
    </xf>
    <xf numFmtId="173" fontId="5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173" fontId="5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5" fillId="0" borderId="11" xfId="0" applyNumberFormat="1" applyFont="1" applyFill="1" applyBorder="1" applyAlignment="1">
      <alignment horizontal="left"/>
    </xf>
    <xf numFmtId="173" fontId="3" fillId="3" borderId="10" xfId="0" applyNumberFormat="1" applyFont="1" applyFill="1" applyBorder="1" applyAlignment="1">
      <alignment horizontal="center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7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173" fontId="5" fillId="3" borderId="15" xfId="0" applyNumberFormat="1" applyFont="1" applyFill="1" applyBorder="1" applyAlignment="1">
      <alignment horizontal="center"/>
    </xf>
    <xf numFmtId="173" fontId="3" fillId="3" borderId="15" xfId="0" applyNumberFormat="1" applyFont="1" applyFill="1" applyBorder="1" applyAlignment="1">
      <alignment horizontal="center"/>
    </xf>
    <xf numFmtId="173" fontId="5" fillId="3" borderId="10" xfId="0" applyNumberFormat="1" applyFont="1" applyFill="1" applyBorder="1" applyAlignment="1">
      <alignment horizontal="center"/>
    </xf>
    <xf numFmtId="179" fontId="5" fillId="0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5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5" fillId="0" borderId="55" xfId="0" applyNumberFormat="1" applyFont="1" applyFill="1" applyBorder="1" applyAlignment="1">
      <alignment horizontal="center"/>
    </xf>
    <xf numFmtId="179" fontId="5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5" fillId="0" borderId="6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5" fillId="3" borderId="20" xfId="0" applyNumberFormat="1" applyFont="1" applyFill="1" applyBorder="1" applyAlignment="1">
      <alignment horizontal="center"/>
    </xf>
    <xf numFmtId="179" fontId="5" fillId="0" borderId="20" xfId="0" applyNumberFormat="1" applyFont="1" applyFill="1" applyBorder="1" applyAlignment="1">
      <alignment horizontal="center"/>
    </xf>
    <xf numFmtId="179" fontId="3" fillId="3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0" fillId="0" borderId="66" xfId="0" applyNumberFormat="1" applyFont="1" applyBorder="1" applyAlignment="1">
      <alignment horizontal="center"/>
    </xf>
    <xf numFmtId="179" fontId="10" fillId="0" borderId="67" xfId="0" applyNumberFormat="1" applyFont="1" applyBorder="1" applyAlignment="1">
      <alignment horizontal="center"/>
    </xf>
    <xf numFmtId="2" fontId="10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136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Lmag_hcmqap!$B$17:$F$17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Lmag_hcmqap!$B$20:$F$20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Lmag_hcmqap!$B$6:$F$6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Lmag_hcmqap!$B$19:$F$19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2318034"/>
        <c:axId val="66644579"/>
      </c:lineChart>
      <c:catAx>
        <c:axId val="223180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6644579"/>
        <c:crosses val="autoZero"/>
        <c:auto val="1"/>
        <c:lblOffset val="100"/>
        <c:noMultiLvlLbl val="0"/>
      </c:catAx>
      <c:valAx>
        <c:axId val="66644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2231803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36</xdr:row>
      <xdr:rowOff>28575</xdr:rowOff>
    </xdr:from>
    <xdr:to>
      <xdr:col>7</xdr:col>
      <xdr:colOff>19050</xdr:colOff>
      <xdr:row>56</xdr:row>
      <xdr:rowOff>47625</xdr:rowOff>
    </xdr:to>
    <xdr:graphicFrame>
      <xdr:nvGraphicFramePr>
        <xdr:cNvPr id="1" name="Chart 1"/>
        <xdr:cNvGraphicFramePr/>
      </xdr:nvGraphicFramePr>
      <xdr:xfrm>
        <a:off x="171450" y="6010275"/>
        <a:ext cx="53816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7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 t="s">
        <v>69</v>
      </c>
      <c r="B2" s="24">
        <v>80</v>
      </c>
      <c r="C2" s="24" t="s">
        <v>70</v>
      </c>
      <c r="D2" s="25">
        <v>5</v>
      </c>
      <c r="E2" s="25">
        <v>1</v>
      </c>
      <c r="F2" s="26"/>
      <c r="G2" s="26" t="s">
        <v>68</v>
      </c>
      <c r="H2" s="25">
        <v>2704</v>
      </c>
      <c r="I2" s="27" t="s">
        <v>71</v>
      </c>
      <c r="J2" s="30"/>
      <c r="K2" s="28"/>
      <c r="L2" s="28"/>
      <c r="M2" s="28"/>
      <c r="N2" s="28"/>
    </row>
    <row r="3" spans="1:14" s="29" customFormat="1" ht="15" customHeight="1">
      <c r="A3" s="40" t="s">
        <v>69</v>
      </c>
      <c r="B3" s="24">
        <v>80</v>
      </c>
      <c r="C3" s="24" t="s">
        <v>70</v>
      </c>
      <c r="D3" s="25">
        <v>5</v>
      </c>
      <c r="E3" s="25">
        <v>2</v>
      </c>
      <c r="F3" s="26"/>
      <c r="G3" s="26" t="s">
        <v>73</v>
      </c>
      <c r="H3" s="25">
        <v>2704</v>
      </c>
      <c r="I3" s="27" t="s">
        <v>74</v>
      </c>
      <c r="J3" s="30"/>
      <c r="K3" s="28"/>
      <c r="L3" s="28"/>
      <c r="M3" s="28"/>
      <c r="N3" s="28"/>
    </row>
    <row r="4" spans="1:14" s="29" customFormat="1" ht="15" customHeight="1">
      <c r="A4" s="40" t="s">
        <v>69</v>
      </c>
      <c r="B4" s="24">
        <v>80</v>
      </c>
      <c r="C4" s="24" t="s">
        <v>70</v>
      </c>
      <c r="D4" s="25">
        <v>5</v>
      </c>
      <c r="E4" s="25">
        <v>3</v>
      </c>
      <c r="F4" s="26"/>
      <c r="G4" s="26" t="s">
        <v>76</v>
      </c>
      <c r="H4" s="25">
        <v>2704</v>
      </c>
      <c r="I4" s="27" t="s">
        <v>77</v>
      </c>
      <c r="J4" s="30"/>
      <c r="K4" s="31"/>
      <c r="L4" s="31"/>
      <c r="M4" s="31"/>
      <c r="N4" s="28"/>
    </row>
    <row r="5" spans="1:14" s="29" customFormat="1" ht="15" customHeight="1">
      <c r="A5" s="40" t="s">
        <v>69</v>
      </c>
      <c r="B5" s="24">
        <v>80</v>
      </c>
      <c r="C5" s="24" t="s">
        <v>70</v>
      </c>
      <c r="D5" s="25">
        <v>5</v>
      </c>
      <c r="E5" s="25">
        <v>4</v>
      </c>
      <c r="F5" s="26"/>
      <c r="G5" s="26" t="s">
        <v>78</v>
      </c>
      <c r="H5" s="25">
        <v>2704</v>
      </c>
      <c r="I5" s="27" t="s">
        <v>79</v>
      </c>
      <c r="J5" s="30"/>
      <c r="K5" s="28"/>
      <c r="L5" s="28"/>
      <c r="M5" s="28"/>
      <c r="N5" s="28"/>
    </row>
    <row r="6" spans="1:14" s="29" customFormat="1" ht="15" customHeight="1">
      <c r="A6" s="40" t="s">
        <v>69</v>
      </c>
      <c r="B6" s="24">
        <v>80</v>
      </c>
      <c r="C6" s="24" t="s">
        <v>70</v>
      </c>
      <c r="D6" s="25">
        <v>5</v>
      </c>
      <c r="E6" s="25">
        <v>5</v>
      </c>
      <c r="F6" s="26"/>
      <c r="G6" s="26" t="s">
        <v>81</v>
      </c>
      <c r="H6" s="25">
        <v>2704</v>
      </c>
      <c r="I6" s="27" t="s">
        <v>82</v>
      </c>
      <c r="J6" s="30"/>
      <c r="K6" s="28"/>
      <c r="L6" s="28"/>
      <c r="M6" s="28"/>
      <c r="N6" s="28"/>
    </row>
    <row r="7" spans="1:14" s="29" customFormat="1" ht="15" customHeight="1">
      <c r="A7" s="40" t="s">
        <v>83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5" customHeight="1">
      <c r="A10" s="40"/>
      <c r="B10" s="24"/>
      <c r="C10" s="24"/>
      <c r="D10" s="25"/>
      <c r="E10" s="25"/>
      <c r="F10" s="26"/>
      <c r="G10" s="26"/>
      <c r="H10" s="25"/>
      <c r="I10" s="27"/>
      <c r="J10" s="30"/>
      <c r="K10" s="28"/>
      <c r="L10" s="28"/>
      <c r="M10" s="28"/>
      <c r="N10" s="28"/>
    </row>
    <row r="11" spans="1:14" s="29" customFormat="1" ht="18" customHeight="1">
      <c r="A11" s="41"/>
      <c r="B11" s="24"/>
      <c r="C11" s="24"/>
      <c r="D11" s="25"/>
      <c r="E11" s="33"/>
      <c r="F11" s="34"/>
      <c r="G11" s="4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38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8" customHeight="1">
      <c r="A13" s="40"/>
      <c r="B13" s="24"/>
      <c r="C13" s="24"/>
      <c r="D13" s="25"/>
      <c r="E13" s="33"/>
      <c r="F13" s="34"/>
      <c r="G13" s="34"/>
      <c r="H13" s="33"/>
      <c r="I13" s="35"/>
      <c r="J13" s="36"/>
      <c r="K13" s="37"/>
      <c r="L13" s="37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7"/>
      <c r="J14" s="30"/>
      <c r="K14" s="31"/>
      <c r="L14" s="28"/>
      <c r="M14" s="28"/>
      <c r="N14" s="28"/>
    </row>
    <row r="15" spans="1:14" s="29" customFormat="1" ht="15" customHeight="1">
      <c r="A15" s="40"/>
      <c r="B15" s="24"/>
      <c r="C15" s="24"/>
      <c r="D15" s="25"/>
      <c r="E15" s="25"/>
      <c r="F15" s="26"/>
      <c r="G15" s="26"/>
      <c r="H15" s="25"/>
      <c r="I15" s="28"/>
      <c r="J15" s="30"/>
      <c r="K15" s="31"/>
      <c r="L15" s="28"/>
      <c r="M15" s="28"/>
      <c r="N15" s="28"/>
    </row>
    <row r="16" spans="1:14" s="2" customFormat="1" ht="18" customHeight="1">
      <c r="A16" s="42"/>
      <c r="B16" s="20"/>
      <c r="C16" s="20"/>
      <c r="D16" s="15"/>
      <c r="E16" s="15"/>
      <c r="F16" s="22"/>
      <c r="G16" s="22"/>
      <c r="H16" s="15"/>
      <c r="I16" s="23"/>
      <c r="J16" s="17"/>
      <c r="K16"/>
      <c r="L16" s="4"/>
      <c r="M16" s="4"/>
      <c r="N16" s="4"/>
    </row>
    <row r="17" spans="10:14" ht="15" customHeight="1">
      <c r="J17" s="32"/>
      <c r="M17"/>
      <c r="N17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1.9321736E-05</v>
      </c>
      <c r="L2" s="55">
        <v>9.972077112597427E-08</v>
      </c>
      <c r="M2" s="55">
        <v>8.1375214E-05</v>
      </c>
      <c r="N2" s="56">
        <v>8.454034062784168E-08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-3.1283972E-05</v>
      </c>
      <c r="L3" s="55">
        <v>1.4840569782166968E-07</v>
      </c>
      <c r="M3" s="55">
        <v>1.3230374000000004E-05</v>
      </c>
      <c r="N3" s="56">
        <v>8.139678700016085E-08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-0.0022564198216368835</v>
      </c>
      <c r="L4" s="55">
        <v>2.4070052916785952E-05</v>
      </c>
      <c r="M4" s="55">
        <v>6.286062600062699E-08</v>
      </c>
      <c r="N4" s="56">
        <v>-5.333479999999999</v>
      </c>
    </row>
    <row r="5" spans="1:14" ht="15" customHeight="1" thickBot="1">
      <c r="A5" t="s">
        <v>18</v>
      </c>
      <c r="B5" s="59">
        <v>37951.60790509259</v>
      </c>
      <c r="D5" s="60"/>
      <c r="E5" s="61" t="s">
        <v>59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2704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7" t="s">
        <v>27</v>
      </c>
      <c r="B8" s="72" t="s">
        <v>28</v>
      </c>
      <c r="D8" s="77">
        <v>3.0831888999999997</v>
      </c>
      <c r="E8" s="78">
        <v>0.007623530779173656</v>
      </c>
      <c r="F8" s="78">
        <v>-1.8696783</v>
      </c>
      <c r="G8" s="78">
        <v>0.007252228806382616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-0.11378650409999999</v>
      </c>
      <c r="E9" s="80">
        <v>0.022942650001292378</v>
      </c>
      <c r="F9" s="80">
        <v>-0.74526279</v>
      </c>
      <c r="G9" s="80">
        <v>0.01196228552265459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-0.54899828</v>
      </c>
      <c r="E10" s="80">
        <v>0.008987868803870008</v>
      </c>
      <c r="F10" s="80">
        <v>-0.5148949399999999</v>
      </c>
      <c r="G10" s="80">
        <v>0.013953632708202353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1</v>
      </c>
      <c r="D11" s="77">
        <v>3.4960619</v>
      </c>
      <c r="E11" s="78">
        <v>0.006621708460751623</v>
      </c>
      <c r="F11" s="78">
        <v>1.0427505099999999</v>
      </c>
      <c r="G11" s="78">
        <v>0.005889138374601451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0.070515025</v>
      </c>
      <c r="E12" s="80">
        <v>0.006211519074903512</v>
      </c>
      <c r="F12" s="80">
        <v>-0.32203896</v>
      </c>
      <c r="G12" s="80">
        <v>0.006374914978211362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21.636964</v>
      </c>
      <c r="D13" s="83">
        <v>0.054163912189999996</v>
      </c>
      <c r="E13" s="80">
        <v>0.002899422516015855</v>
      </c>
      <c r="F13" s="80">
        <v>-0.14168365</v>
      </c>
      <c r="G13" s="80">
        <v>0.006643979706361518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-0.23215623000000002</v>
      </c>
      <c r="E14" s="80">
        <v>0.003090583754666121</v>
      </c>
      <c r="F14" s="80">
        <v>-0.043859162</v>
      </c>
      <c r="G14" s="80">
        <v>0.003275001956569286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-0.27772657</v>
      </c>
      <c r="E15" s="78">
        <v>0.0030340878188674005</v>
      </c>
      <c r="F15" s="78">
        <v>0.11637598999999998</v>
      </c>
      <c r="G15" s="78">
        <v>0.004288902940893253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12.515</v>
      </c>
      <c r="D16" s="83">
        <v>0.008069566885</v>
      </c>
      <c r="E16" s="80">
        <v>0.0018416815380299172</v>
      </c>
      <c r="F16" s="80">
        <v>-0.030409946</v>
      </c>
      <c r="G16" s="80">
        <v>0.0021733595008038057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-0.4480000138282776</v>
      </c>
      <c r="D17" s="83">
        <v>-0.021130123</v>
      </c>
      <c r="E17" s="80">
        <v>0.0019753734053707373</v>
      </c>
      <c r="F17" s="80">
        <v>0.011883726</v>
      </c>
      <c r="G17" s="80">
        <v>0.002721517734583777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22.88800048828125</v>
      </c>
      <c r="D18" s="83">
        <v>0.0140314481</v>
      </c>
      <c r="E18" s="80">
        <v>0.002546933249524173</v>
      </c>
      <c r="F18" s="80">
        <v>0.06338306199999999</v>
      </c>
      <c r="G18" s="80">
        <v>0.0014336746140136845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-0.4860000014305115</v>
      </c>
      <c r="D19" s="86">
        <v>-0.18792972</v>
      </c>
      <c r="E19" s="80">
        <v>0.002061250415549781</v>
      </c>
      <c r="F19" s="80">
        <v>0.013131666</v>
      </c>
      <c r="G19" s="80">
        <v>0.0012483788970717058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0.1520808</v>
      </c>
      <c r="D20" s="88">
        <v>0.00062638007</v>
      </c>
      <c r="E20" s="89">
        <v>0.0012693330106614486</v>
      </c>
      <c r="F20" s="89">
        <v>-0.0007132333130000002</v>
      </c>
      <c r="G20" s="89">
        <v>0.0018696330305702138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0.611455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-0.3055861522350147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-2.2565482</v>
      </c>
      <c r="I25" s="101" t="s">
        <v>49</v>
      </c>
      <c r="J25" s="102"/>
      <c r="K25" s="101"/>
      <c r="L25" s="104">
        <v>3.648256766558087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3.605794051048132</v>
      </c>
      <c r="I26" s="106" t="s">
        <v>53</v>
      </c>
      <c r="J26" s="107"/>
      <c r="K26" s="106"/>
      <c r="L26" s="109">
        <v>0.3011235937824285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HCMQAP136_pos1ap2res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5.1592641E-05</v>
      </c>
      <c r="L2" s="55">
        <v>6.294589179806044E-08</v>
      </c>
      <c r="M2" s="55">
        <v>6.896549399999999E-05</v>
      </c>
      <c r="N2" s="56">
        <v>1.6262887706081876E-07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-2.8872151E-05</v>
      </c>
      <c r="L3" s="55">
        <v>2.021936237721683E-07</v>
      </c>
      <c r="M3" s="55">
        <v>1.2398662000000001E-05</v>
      </c>
      <c r="N3" s="56">
        <v>2.1673841852799447E-07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-0.003752837081673941</v>
      </c>
      <c r="L4" s="55">
        <v>-3.023964270069504E-06</v>
      </c>
      <c r="M4" s="55">
        <v>9.079021894871465E-08</v>
      </c>
      <c r="N4" s="56">
        <v>0.40289034000000007</v>
      </c>
    </row>
    <row r="5" spans="1:14" ht="15" customHeight="1" thickBot="1">
      <c r="A5" t="s">
        <v>18</v>
      </c>
      <c r="B5" s="59">
        <v>37951.612442129626</v>
      </c>
      <c r="D5" s="60"/>
      <c r="E5" s="61" t="s">
        <v>72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2704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7" t="s">
        <v>27</v>
      </c>
      <c r="B8" s="72" t="s">
        <v>28</v>
      </c>
      <c r="D8" s="77">
        <v>2.1944451</v>
      </c>
      <c r="E8" s="78">
        <v>0.011079621439492756</v>
      </c>
      <c r="F8" s="78">
        <v>-0.70344996</v>
      </c>
      <c r="G8" s="78">
        <v>0.008256732920674362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0.41127991999999997</v>
      </c>
      <c r="E9" s="80">
        <v>0.010033537816027172</v>
      </c>
      <c r="F9" s="80">
        <v>1.6358585</v>
      </c>
      <c r="G9" s="80">
        <v>0.009743591991638708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-0.44885861</v>
      </c>
      <c r="E10" s="80">
        <v>0.006523214489910454</v>
      </c>
      <c r="F10" s="80">
        <v>-0.29854655</v>
      </c>
      <c r="G10" s="80">
        <v>0.005537966270842661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2</v>
      </c>
      <c r="D11" s="77">
        <v>3.117076</v>
      </c>
      <c r="E11" s="78">
        <v>0.0023815419792554684</v>
      </c>
      <c r="F11" s="78">
        <v>0.5415832</v>
      </c>
      <c r="G11" s="78">
        <v>0.004557879235233584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0.040424151000000005</v>
      </c>
      <c r="E12" s="80">
        <v>0.0029630445544192845</v>
      </c>
      <c r="F12" s="80">
        <v>-0.033333609</v>
      </c>
      <c r="G12" s="80">
        <v>0.004324529373598269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21.649171</v>
      </c>
      <c r="D13" s="83">
        <v>0.022413535900000003</v>
      </c>
      <c r="E13" s="80">
        <v>0.0026499639214719066</v>
      </c>
      <c r="F13" s="80">
        <v>0.256832969</v>
      </c>
      <c r="G13" s="80">
        <v>0.0044749830973030555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-0.07399866299999999</v>
      </c>
      <c r="E14" s="80">
        <v>0.0020350664294725585</v>
      </c>
      <c r="F14" s="80">
        <v>-0.050113838</v>
      </c>
      <c r="G14" s="80">
        <v>0.0013151149552969878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-0.038900546</v>
      </c>
      <c r="E15" s="78">
        <v>0.0023337478761541143</v>
      </c>
      <c r="F15" s="78">
        <v>0.13350139</v>
      </c>
      <c r="G15" s="78">
        <v>0.00368620304370224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12.515</v>
      </c>
      <c r="D16" s="83">
        <v>-0.0021015355</v>
      </c>
      <c r="E16" s="80">
        <v>0.0019554892483703407</v>
      </c>
      <c r="F16" s="80">
        <v>-0.023391172999999998</v>
      </c>
      <c r="G16" s="80">
        <v>0.0013735562874691433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0.41100001335144043</v>
      </c>
      <c r="D17" s="83">
        <v>0.00221257742</v>
      </c>
      <c r="E17" s="80">
        <v>0.0015021946585026228</v>
      </c>
      <c r="F17" s="80">
        <v>0.029778863</v>
      </c>
      <c r="G17" s="80">
        <v>0.0016800363175765115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2.5429999828338623</v>
      </c>
      <c r="D18" s="83">
        <v>0.025946411000000003</v>
      </c>
      <c r="E18" s="80">
        <v>0.0013694716827900894</v>
      </c>
      <c r="F18" s="80">
        <v>0.021016225000000003</v>
      </c>
      <c r="G18" s="80">
        <v>0.0010527705925176339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0.3580000102519989</v>
      </c>
      <c r="D19" s="86">
        <v>-0.16558557000000002</v>
      </c>
      <c r="E19" s="80">
        <v>0.0008767492894749303</v>
      </c>
      <c r="F19" s="80">
        <v>0.025884927000000002</v>
      </c>
      <c r="G19" s="80">
        <v>0.0012755096319847726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0.23345320000000003</v>
      </c>
      <c r="D20" s="88">
        <v>0.0013821342899999998</v>
      </c>
      <c r="E20" s="89">
        <v>0.0010049366471511422</v>
      </c>
      <c r="F20" s="89">
        <v>-0.0030183662799999995</v>
      </c>
      <c r="G20" s="89">
        <v>0.0009890079229111818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0.31259359999999997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0.023083935586757028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-3.7528382999999996</v>
      </c>
      <c r="I25" s="101" t="s">
        <v>49</v>
      </c>
      <c r="J25" s="102"/>
      <c r="K25" s="101"/>
      <c r="L25" s="104">
        <v>3.1637754585776534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2.3044372725544107</v>
      </c>
      <c r="I26" s="106" t="s">
        <v>53</v>
      </c>
      <c r="J26" s="107"/>
      <c r="K26" s="106"/>
      <c r="L26" s="109">
        <v>0.1390534919052025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HCMQAP136_pos2ap2res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3.2340907100000005E-05</v>
      </c>
      <c r="L2" s="55">
        <v>8.619408544775693E-08</v>
      </c>
      <c r="M2" s="55">
        <v>6.190760500000001E-05</v>
      </c>
      <c r="N2" s="56">
        <v>3.3332292819289863E-07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-2.78806049E-05</v>
      </c>
      <c r="L3" s="55">
        <v>1.1624187033304907E-07</v>
      </c>
      <c r="M3" s="55">
        <v>1.0804599E-05</v>
      </c>
      <c r="N3" s="56">
        <v>2.2115307301508878E-07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-0.0037523159423141204</v>
      </c>
      <c r="L4" s="55">
        <v>-3.513148786280507E-05</v>
      </c>
      <c r="M4" s="55">
        <v>5.99811505943282E-08</v>
      </c>
      <c r="N4" s="56">
        <v>4.6811704999999995</v>
      </c>
    </row>
    <row r="5" spans="1:14" ht="15" customHeight="1" thickBot="1">
      <c r="A5" t="s">
        <v>18</v>
      </c>
      <c r="B5" s="59">
        <v>37951.616898148146</v>
      </c>
      <c r="D5" s="60"/>
      <c r="E5" s="61" t="s">
        <v>75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2704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7" t="s">
        <v>27</v>
      </c>
      <c r="B8" s="72" t="s">
        <v>28</v>
      </c>
      <c r="D8" s="77">
        <v>3.1704785</v>
      </c>
      <c r="E8" s="78">
        <v>0.01996581805485916</v>
      </c>
      <c r="F8" s="78">
        <v>-0.025779478</v>
      </c>
      <c r="G8" s="78">
        <v>0.015283460557601674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-0.27593473</v>
      </c>
      <c r="E9" s="80">
        <v>0.0066818781945356676</v>
      </c>
      <c r="F9" s="80">
        <v>-2.1155877</v>
      </c>
      <c r="G9" s="80">
        <v>0.0036141932931465963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-1.1423710999999996</v>
      </c>
      <c r="E10" s="80">
        <v>0.007896014313593377</v>
      </c>
      <c r="F10" s="80">
        <v>0.201790476</v>
      </c>
      <c r="G10" s="80">
        <v>0.00878165133832986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3</v>
      </c>
      <c r="D11" s="77">
        <v>2.8831851</v>
      </c>
      <c r="E11" s="78">
        <v>0.004369123063177283</v>
      </c>
      <c r="F11" s="78">
        <v>0.6785000899999999</v>
      </c>
      <c r="G11" s="78">
        <v>0.006471576119896311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0.043376587</v>
      </c>
      <c r="E12" s="80">
        <v>0.004141905239918677</v>
      </c>
      <c r="F12" s="80">
        <v>-0.19551528</v>
      </c>
      <c r="G12" s="80">
        <v>0.007400145392193338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21.697999</v>
      </c>
      <c r="D13" s="83">
        <v>0.043775510000000004</v>
      </c>
      <c r="E13" s="80">
        <v>0.002834643256251127</v>
      </c>
      <c r="F13" s="80">
        <v>-0.08347660999999999</v>
      </c>
      <c r="G13" s="80">
        <v>0.002949630606432283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-0.06545956</v>
      </c>
      <c r="E14" s="80">
        <v>0.0022499215769444902</v>
      </c>
      <c r="F14" s="80">
        <v>-0.10890335800000002</v>
      </c>
      <c r="G14" s="80">
        <v>0.0031944742506651545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-0.05640810500000001</v>
      </c>
      <c r="E15" s="78">
        <v>0.0016931644913798058</v>
      </c>
      <c r="F15" s="78">
        <v>0.1140553</v>
      </c>
      <c r="G15" s="78">
        <v>0.0031202136971689737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12.5154</v>
      </c>
      <c r="D16" s="83">
        <v>-0.020839158999999996</v>
      </c>
      <c r="E16" s="80">
        <v>0.0016781560123344122</v>
      </c>
      <c r="F16" s="80">
        <v>-0.064714309</v>
      </c>
      <c r="G16" s="80">
        <v>0.0013473721141965462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-0.3970000147819519</v>
      </c>
      <c r="D17" s="83">
        <v>-0.0044547386999999996</v>
      </c>
      <c r="E17" s="80">
        <v>0.0016522303509767832</v>
      </c>
      <c r="F17" s="80">
        <v>0.001678905</v>
      </c>
      <c r="G17" s="80">
        <v>0.002470604017957956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30.51799964904785</v>
      </c>
      <c r="D18" s="83">
        <v>0.028924122000000003</v>
      </c>
      <c r="E18" s="80">
        <v>0.0008773892713019928</v>
      </c>
      <c r="F18" s="80">
        <v>0.0055533587</v>
      </c>
      <c r="G18" s="80">
        <v>0.0008744682132402846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-0.4350000023841858</v>
      </c>
      <c r="D19" s="86">
        <v>-0.16992491999999998</v>
      </c>
      <c r="E19" s="80">
        <v>0.0006189569521355686</v>
      </c>
      <c r="F19" s="80">
        <v>0.022955867</v>
      </c>
      <c r="G19" s="80">
        <v>0.000648191046834083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0.1438776</v>
      </c>
      <c r="D20" s="88">
        <v>0.0008875900300000002</v>
      </c>
      <c r="E20" s="89">
        <v>0.0006921879898602268</v>
      </c>
      <c r="F20" s="89">
        <v>-0.00288052491</v>
      </c>
      <c r="G20" s="89">
        <v>0.000543739908429171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0.2818223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0.2682115393797408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-3.7524804</v>
      </c>
      <c r="I25" s="101" t="s">
        <v>49</v>
      </c>
      <c r="J25" s="102"/>
      <c r="K25" s="101"/>
      <c r="L25" s="104">
        <v>2.961945086086509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3.170583306025597</v>
      </c>
      <c r="I26" s="106" t="s">
        <v>53</v>
      </c>
      <c r="J26" s="107"/>
      <c r="K26" s="106"/>
      <c r="L26" s="109">
        <v>0.12724183969033545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HCMQAP136_pos3ap2res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4.176701900000001E-05</v>
      </c>
      <c r="L2" s="55">
        <v>1.474806165341313E-07</v>
      </c>
      <c r="M2" s="55">
        <v>0.00011024023400000002</v>
      </c>
      <c r="N2" s="56">
        <v>1.6095147526991385E-07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-2.8797481000000005E-05</v>
      </c>
      <c r="L3" s="55">
        <v>1.6904865487077418E-07</v>
      </c>
      <c r="M3" s="55">
        <v>1.0242586000000001E-05</v>
      </c>
      <c r="N3" s="56">
        <v>2.8028523677497967E-07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-0.0037521959055927113</v>
      </c>
      <c r="L4" s="55">
        <v>-5.4452725682882756E-05</v>
      </c>
      <c r="M4" s="55">
        <v>1.1436519870673461E-07</v>
      </c>
      <c r="N4" s="56">
        <v>7.2556050999999995</v>
      </c>
    </row>
    <row r="5" spans="1:14" ht="15" customHeight="1" thickBot="1">
      <c r="A5" t="s">
        <v>18</v>
      </c>
      <c r="B5" s="59">
        <v>37951.621354166666</v>
      </c>
      <c r="D5" s="60"/>
      <c r="E5" s="61" t="s">
        <v>72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2704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7" t="s">
        <v>27</v>
      </c>
      <c r="B8" s="72" t="s">
        <v>28</v>
      </c>
      <c r="D8" s="77">
        <v>0.89649778</v>
      </c>
      <c r="E8" s="78">
        <v>0.00622100293952928</v>
      </c>
      <c r="F8" s="78">
        <v>0.38048739</v>
      </c>
      <c r="G8" s="78">
        <v>0.011978211146635111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-0.47743689</v>
      </c>
      <c r="E9" s="80">
        <v>0.011474384350385617</v>
      </c>
      <c r="F9" s="80">
        <v>-0.82896512</v>
      </c>
      <c r="G9" s="80">
        <v>0.014120209595138067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-0.26075085000000003</v>
      </c>
      <c r="E10" s="80">
        <v>0.005416279447831015</v>
      </c>
      <c r="F10" s="80">
        <v>0.030625312999999998</v>
      </c>
      <c r="G10" s="80">
        <v>0.004960113876058276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4</v>
      </c>
      <c r="D11" s="77">
        <v>3.3676662</v>
      </c>
      <c r="E11" s="78">
        <v>0.005356661708434019</v>
      </c>
      <c r="F11" s="78">
        <v>1.1862524</v>
      </c>
      <c r="G11" s="78">
        <v>0.005786216712144001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-0.054174713000000006</v>
      </c>
      <c r="E12" s="80">
        <v>0.0030330262703206407</v>
      </c>
      <c r="F12" s="80">
        <v>0.0169043799</v>
      </c>
      <c r="G12" s="80">
        <v>0.00319969082622412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21.777344</v>
      </c>
      <c r="D13" s="83">
        <v>-0.025338333</v>
      </c>
      <c r="E13" s="80">
        <v>0.001950689836356838</v>
      </c>
      <c r="F13" s="80">
        <v>-0.08348417999999999</v>
      </c>
      <c r="G13" s="80">
        <v>0.0028825662303927214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-0.0029802407999999997</v>
      </c>
      <c r="E14" s="80">
        <v>0.0012050123769474575</v>
      </c>
      <c r="F14" s="80">
        <v>-0.087317168</v>
      </c>
      <c r="G14" s="80">
        <v>0.0016200702975540074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-0.003129041</v>
      </c>
      <c r="E15" s="78">
        <v>0.00150833944870974</v>
      </c>
      <c r="F15" s="78">
        <v>0.14609601</v>
      </c>
      <c r="G15" s="78">
        <v>0.0025526510908080156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12.5151</v>
      </c>
      <c r="D16" s="83">
        <v>-0.009355393600000001</v>
      </c>
      <c r="E16" s="80">
        <v>0.002200699617381396</v>
      </c>
      <c r="F16" s="80">
        <v>-0.029564777999999996</v>
      </c>
      <c r="G16" s="80">
        <v>0.0012476241391886614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0.4189999997615814</v>
      </c>
      <c r="D17" s="83">
        <v>-0.00534957306</v>
      </c>
      <c r="E17" s="80">
        <v>0.001401677250563001</v>
      </c>
      <c r="F17" s="80">
        <v>0.00017600799999999971</v>
      </c>
      <c r="G17" s="80">
        <v>0.0019471597965462402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2.0350000858306885</v>
      </c>
      <c r="D18" s="83">
        <v>0.03188363600000001</v>
      </c>
      <c r="E18" s="80">
        <v>0.0009329153680982201</v>
      </c>
      <c r="F18" s="80">
        <v>0.036440151000000004</v>
      </c>
      <c r="G18" s="80">
        <v>0.0005071275422552176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0.3779999911785126</v>
      </c>
      <c r="D19" s="86">
        <v>-0.17071383</v>
      </c>
      <c r="E19" s="80">
        <v>0.001070217901925681</v>
      </c>
      <c r="F19" s="80">
        <v>0.030246670000000003</v>
      </c>
      <c r="G19" s="80">
        <v>0.0006377030578096787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0.1819382</v>
      </c>
      <c r="D20" s="88">
        <v>-0.00128060864</v>
      </c>
      <c r="E20" s="89">
        <v>0.0010572537423520314</v>
      </c>
      <c r="F20" s="89">
        <v>-0.00048089565</v>
      </c>
      <c r="G20" s="89">
        <v>0.0007150657303828816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0.5021009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0.4157159011837954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-3.7525910000000002</v>
      </c>
      <c r="I25" s="101" t="s">
        <v>49</v>
      </c>
      <c r="J25" s="102"/>
      <c r="K25" s="101"/>
      <c r="L25" s="104">
        <v>3.5704860160947556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0.9738988261076921</v>
      </c>
      <c r="I26" s="106" t="s">
        <v>53</v>
      </c>
      <c r="J26" s="107"/>
      <c r="K26" s="106"/>
      <c r="L26" s="109">
        <v>0.1461295145940743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HCMQAP136_pos4ap2res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4.09972802E-05</v>
      </c>
      <c r="L2" s="55">
        <v>9.185520895440008E-08</v>
      </c>
      <c r="M2" s="55">
        <v>8.3707155E-05</v>
      </c>
      <c r="N2" s="56">
        <v>2.403794326049978E-07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-3.19719558E-05</v>
      </c>
      <c r="L3" s="55">
        <v>7.063757243070677E-08</v>
      </c>
      <c r="M3" s="55">
        <v>9.692305E-06</v>
      </c>
      <c r="N3" s="56">
        <v>1.6122364646663408E-07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-0.0020807403563228846</v>
      </c>
      <c r="L4" s="55">
        <v>-3.9707608565066875E-05</v>
      </c>
      <c r="M4" s="55">
        <v>2.845626751291218E-08</v>
      </c>
      <c r="N4" s="56">
        <v>9.5405439</v>
      </c>
    </row>
    <row r="5" spans="1:14" ht="15" customHeight="1" thickBot="1">
      <c r="A5" t="s">
        <v>18</v>
      </c>
      <c r="B5" s="59">
        <v>37951.625868055555</v>
      </c>
      <c r="D5" s="60"/>
      <c r="E5" s="61" t="s">
        <v>80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2704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7" t="s">
        <v>27</v>
      </c>
      <c r="B8" s="72" t="s">
        <v>28</v>
      </c>
      <c r="D8" s="77">
        <v>-0.96613364</v>
      </c>
      <c r="E8" s="78">
        <v>0.02602217127156261</v>
      </c>
      <c r="F8" s="114">
        <v>5.0558997</v>
      </c>
      <c r="G8" s="78">
        <v>0.03366122595148423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0.11304224299999999</v>
      </c>
      <c r="E9" s="80">
        <v>0.010980962955487051</v>
      </c>
      <c r="F9" s="115">
        <v>3.9568733000000003</v>
      </c>
      <c r="G9" s="80">
        <v>0.036071110575643384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-2.1327644999999995</v>
      </c>
      <c r="E10" s="80">
        <v>0.012883327718473368</v>
      </c>
      <c r="F10" s="80">
        <v>-1.1843687500000002</v>
      </c>
      <c r="G10" s="80">
        <v>0.008814179629098851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5</v>
      </c>
      <c r="D11" s="116">
        <v>14.177135000000002</v>
      </c>
      <c r="E11" s="78">
        <v>0.005275449742110113</v>
      </c>
      <c r="F11" s="114">
        <v>2.5723095000000002</v>
      </c>
      <c r="G11" s="78">
        <v>0.009704811141921278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-0.063860019</v>
      </c>
      <c r="E12" s="80">
        <v>0.003024289740429026</v>
      </c>
      <c r="F12" s="80">
        <v>0.11693742</v>
      </c>
      <c r="G12" s="80">
        <v>0.005648274158427155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21.871949</v>
      </c>
      <c r="D13" s="83">
        <v>0.038341125000000004</v>
      </c>
      <c r="E13" s="80">
        <v>0.0057054960797970474</v>
      </c>
      <c r="F13" s="80">
        <v>0.2931472299999999</v>
      </c>
      <c r="G13" s="80">
        <v>0.004248592143123988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-0.028998440119999996</v>
      </c>
      <c r="E14" s="80">
        <v>0.0040491259240625225</v>
      </c>
      <c r="F14" s="80">
        <v>-0.0939643367</v>
      </c>
      <c r="G14" s="80">
        <v>0.0030934329070587195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-0.34383684</v>
      </c>
      <c r="E15" s="78">
        <v>0.005238097352513817</v>
      </c>
      <c r="F15" s="78">
        <v>0.41257636</v>
      </c>
      <c r="G15" s="78">
        <v>0.002699185289560595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12.5155</v>
      </c>
      <c r="D16" s="83">
        <v>-0.045294987999999994</v>
      </c>
      <c r="E16" s="80">
        <v>0.0023779363405916523</v>
      </c>
      <c r="F16" s="80">
        <v>-0.008784433819999998</v>
      </c>
      <c r="G16" s="80">
        <v>0.0011670625504941778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-0.296999990940094</v>
      </c>
      <c r="D17" s="83">
        <v>-0.0149872481</v>
      </c>
      <c r="E17" s="80">
        <v>0.002097009188884503</v>
      </c>
      <c r="F17" s="80">
        <v>0.001438609</v>
      </c>
      <c r="G17" s="80">
        <v>0.002781152828735595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31.025999069213867</v>
      </c>
      <c r="D18" s="83">
        <v>0.0186037384</v>
      </c>
      <c r="E18" s="80">
        <v>0.00197328417352044</v>
      </c>
      <c r="F18" s="80">
        <v>0.032082328</v>
      </c>
      <c r="G18" s="80">
        <v>0.0018541718215597171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-0.3449999988079071</v>
      </c>
      <c r="D19" s="83">
        <v>-0.12697935999999999</v>
      </c>
      <c r="E19" s="80">
        <v>0.0019467895824676023</v>
      </c>
      <c r="F19" s="80">
        <v>0.0017370380400000003</v>
      </c>
      <c r="G19" s="80">
        <v>0.0012101556482362994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0.32175460000000006</v>
      </c>
      <c r="D20" s="88">
        <v>-0.00022830543</v>
      </c>
      <c r="E20" s="89">
        <v>0.0014963316086255645</v>
      </c>
      <c r="F20" s="89">
        <v>0.00311872806</v>
      </c>
      <c r="G20" s="89">
        <v>0.0011387857851332516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0.6900473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0.5466333614507304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-2.0811192000000003</v>
      </c>
      <c r="I25" s="101" t="s">
        <v>49</v>
      </c>
      <c r="J25" s="102"/>
      <c r="K25" s="101"/>
      <c r="L25" s="104">
        <v>14.4086062119837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5.147381468941246</v>
      </c>
      <c r="I26" s="106" t="s">
        <v>53</v>
      </c>
      <c r="J26" s="107"/>
      <c r="K26" s="106"/>
      <c r="L26" s="109">
        <v>0.5370689205046547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HCMQAP136_pos5ap2res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39" t="s">
        <v>120</v>
      </c>
      <c r="B1" s="131" t="s">
        <v>68</v>
      </c>
      <c r="C1" s="121" t="s">
        <v>73</v>
      </c>
      <c r="D1" s="121" t="s">
        <v>76</v>
      </c>
      <c r="E1" s="121" t="s">
        <v>78</v>
      </c>
      <c r="F1" s="128" t="s">
        <v>81</v>
      </c>
      <c r="G1" s="162" t="s">
        <v>121</v>
      </c>
    </row>
    <row r="2" spans="1:7" ht="13.5" thickBot="1">
      <c r="A2" s="140" t="s">
        <v>90</v>
      </c>
      <c r="B2" s="132">
        <v>-2.2565482</v>
      </c>
      <c r="C2" s="123">
        <v>-3.7528382999999996</v>
      </c>
      <c r="D2" s="123">
        <v>-3.7524804</v>
      </c>
      <c r="E2" s="123">
        <v>-3.7525910000000002</v>
      </c>
      <c r="F2" s="129">
        <v>-2.0811192000000003</v>
      </c>
      <c r="G2" s="163">
        <v>3.116508369388502</v>
      </c>
    </row>
    <row r="3" spans="1:7" ht="14.25" thickBot="1" thickTop="1">
      <c r="A3" s="148" t="s">
        <v>89</v>
      </c>
      <c r="B3" s="149" t="s">
        <v>84</v>
      </c>
      <c r="C3" s="150" t="s">
        <v>85</v>
      </c>
      <c r="D3" s="150" t="s">
        <v>86</v>
      </c>
      <c r="E3" s="150" t="s">
        <v>87</v>
      </c>
      <c r="F3" s="151" t="s">
        <v>88</v>
      </c>
      <c r="G3" s="158" t="s">
        <v>122</v>
      </c>
    </row>
    <row r="4" spans="1:7" ht="12.75">
      <c r="A4" s="145" t="s">
        <v>91</v>
      </c>
      <c r="B4" s="146">
        <v>3.0831888999999997</v>
      </c>
      <c r="C4" s="147">
        <v>2.1944451</v>
      </c>
      <c r="D4" s="147">
        <v>3.1704785</v>
      </c>
      <c r="E4" s="147">
        <v>0.89649778</v>
      </c>
      <c r="F4" s="152">
        <v>-0.96613364</v>
      </c>
      <c r="G4" s="159">
        <v>1.8238164872867577</v>
      </c>
    </row>
    <row r="5" spans="1:7" ht="12.75">
      <c r="A5" s="140" t="s">
        <v>93</v>
      </c>
      <c r="B5" s="134">
        <v>-0.11378650409999999</v>
      </c>
      <c r="C5" s="118">
        <v>0.41127991999999997</v>
      </c>
      <c r="D5" s="118">
        <v>-0.27593473</v>
      </c>
      <c r="E5" s="118">
        <v>-0.47743689</v>
      </c>
      <c r="F5" s="153">
        <v>0.11304224299999999</v>
      </c>
      <c r="G5" s="160">
        <v>-0.08368451818189712</v>
      </c>
    </row>
    <row r="6" spans="1:7" ht="12.75">
      <c r="A6" s="140" t="s">
        <v>95</v>
      </c>
      <c r="B6" s="134">
        <v>-0.54899828</v>
      </c>
      <c r="C6" s="118">
        <v>-0.44885861</v>
      </c>
      <c r="D6" s="118">
        <v>-1.1423710999999996</v>
      </c>
      <c r="E6" s="118">
        <v>-0.26075085000000003</v>
      </c>
      <c r="F6" s="153">
        <v>-2.1327644999999995</v>
      </c>
      <c r="G6" s="160">
        <v>-0.8096583016916411</v>
      </c>
    </row>
    <row r="7" spans="1:7" ht="12.75">
      <c r="A7" s="140" t="s">
        <v>97</v>
      </c>
      <c r="B7" s="133">
        <v>3.4960619</v>
      </c>
      <c r="C7" s="117">
        <v>3.117076</v>
      </c>
      <c r="D7" s="117">
        <v>2.8831851</v>
      </c>
      <c r="E7" s="117">
        <v>3.3676662</v>
      </c>
      <c r="F7" s="154">
        <v>14.177135000000002</v>
      </c>
      <c r="G7" s="160">
        <v>4.651818346900586</v>
      </c>
    </row>
    <row r="8" spans="1:7" ht="12.75">
      <c r="A8" s="140" t="s">
        <v>99</v>
      </c>
      <c r="B8" s="134">
        <v>0.070515025</v>
      </c>
      <c r="C8" s="118">
        <v>0.040424151000000005</v>
      </c>
      <c r="D8" s="118">
        <v>0.043376587</v>
      </c>
      <c r="E8" s="118">
        <v>-0.054174713000000006</v>
      </c>
      <c r="F8" s="153">
        <v>-0.063860019</v>
      </c>
      <c r="G8" s="160">
        <v>0.008810177040914713</v>
      </c>
    </row>
    <row r="9" spans="1:7" ht="12.75">
      <c r="A9" s="140" t="s">
        <v>101</v>
      </c>
      <c r="B9" s="134">
        <v>0.054163912189999996</v>
      </c>
      <c r="C9" s="118">
        <v>0.022413535900000003</v>
      </c>
      <c r="D9" s="118">
        <v>0.043775510000000004</v>
      </c>
      <c r="E9" s="118">
        <v>-0.025338333</v>
      </c>
      <c r="F9" s="153">
        <v>0.038341125000000004</v>
      </c>
      <c r="G9" s="160">
        <v>0.02278291124042781</v>
      </c>
    </row>
    <row r="10" spans="1:7" ht="12.75">
      <c r="A10" s="140" t="s">
        <v>103</v>
      </c>
      <c r="B10" s="134">
        <v>-0.23215623000000002</v>
      </c>
      <c r="C10" s="118">
        <v>-0.07399866299999999</v>
      </c>
      <c r="D10" s="118">
        <v>-0.06545956</v>
      </c>
      <c r="E10" s="118">
        <v>-0.0029802407999999997</v>
      </c>
      <c r="F10" s="153">
        <v>-0.028998440119999996</v>
      </c>
      <c r="G10" s="160">
        <v>-0.07173477990633627</v>
      </c>
    </row>
    <row r="11" spans="1:7" ht="12.75">
      <c r="A11" s="140" t="s">
        <v>105</v>
      </c>
      <c r="B11" s="133">
        <v>-0.27772657</v>
      </c>
      <c r="C11" s="117">
        <v>-0.038900546</v>
      </c>
      <c r="D11" s="117">
        <v>-0.05640810500000001</v>
      </c>
      <c r="E11" s="117">
        <v>-0.003129041</v>
      </c>
      <c r="F11" s="155">
        <v>-0.34383684</v>
      </c>
      <c r="G11" s="160">
        <v>-0.10975346461822094</v>
      </c>
    </row>
    <row r="12" spans="1:7" ht="12.75">
      <c r="A12" s="140" t="s">
        <v>107</v>
      </c>
      <c r="B12" s="134">
        <v>0.008069566885</v>
      </c>
      <c r="C12" s="118">
        <v>-0.0021015355</v>
      </c>
      <c r="D12" s="118">
        <v>-0.020839158999999996</v>
      </c>
      <c r="E12" s="118">
        <v>-0.009355393600000001</v>
      </c>
      <c r="F12" s="153">
        <v>-0.045294987999999994</v>
      </c>
      <c r="G12" s="160">
        <v>-0.012647632449552255</v>
      </c>
    </row>
    <row r="13" spans="1:7" ht="12.75">
      <c r="A13" s="140" t="s">
        <v>109</v>
      </c>
      <c r="B13" s="134">
        <v>-0.021130123</v>
      </c>
      <c r="C13" s="118">
        <v>0.00221257742</v>
      </c>
      <c r="D13" s="118">
        <v>-0.0044547386999999996</v>
      </c>
      <c r="E13" s="118">
        <v>-0.00534957306</v>
      </c>
      <c r="F13" s="153">
        <v>-0.0149872481</v>
      </c>
      <c r="G13" s="160">
        <v>-0.0068839405046242814</v>
      </c>
    </row>
    <row r="14" spans="1:7" ht="12.75">
      <c r="A14" s="140" t="s">
        <v>111</v>
      </c>
      <c r="B14" s="134">
        <v>0.0140314481</v>
      </c>
      <c r="C14" s="118">
        <v>0.025946411000000003</v>
      </c>
      <c r="D14" s="118">
        <v>0.028924122000000003</v>
      </c>
      <c r="E14" s="118">
        <v>0.03188363600000001</v>
      </c>
      <c r="F14" s="153">
        <v>0.0186037384</v>
      </c>
      <c r="G14" s="160">
        <v>0.025387670166491745</v>
      </c>
    </row>
    <row r="15" spans="1:7" ht="12.75">
      <c r="A15" s="140" t="s">
        <v>113</v>
      </c>
      <c r="B15" s="135">
        <v>-0.18792972</v>
      </c>
      <c r="C15" s="119">
        <v>-0.16558557000000002</v>
      </c>
      <c r="D15" s="119">
        <v>-0.16992491999999998</v>
      </c>
      <c r="E15" s="119">
        <v>-0.17071383</v>
      </c>
      <c r="F15" s="153">
        <v>-0.12697935999999999</v>
      </c>
      <c r="G15" s="160">
        <v>-0.165944910004045</v>
      </c>
    </row>
    <row r="16" spans="1:7" ht="12.75">
      <c r="A16" s="140" t="s">
        <v>115</v>
      </c>
      <c r="B16" s="134">
        <v>0.00062638007</v>
      </c>
      <c r="C16" s="118">
        <v>0.0013821342899999998</v>
      </c>
      <c r="D16" s="118">
        <v>0.0008875900300000002</v>
      </c>
      <c r="E16" s="118">
        <v>-0.00128060864</v>
      </c>
      <c r="F16" s="153">
        <v>-0.00022830543</v>
      </c>
      <c r="G16" s="160">
        <v>0.000298181735045675</v>
      </c>
    </row>
    <row r="17" spans="1:7" ht="12.75">
      <c r="A17" s="140" t="s">
        <v>92</v>
      </c>
      <c r="B17" s="133">
        <v>-1.8696783</v>
      </c>
      <c r="C17" s="117">
        <v>-0.70344996</v>
      </c>
      <c r="D17" s="117">
        <v>-0.025779478</v>
      </c>
      <c r="E17" s="117">
        <v>0.38048739</v>
      </c>
      <c r="F17" s="154">
        <v>5.0558997</v>
      </c>
      <c r="G17" s="160">
        <v>0.3202224144619164</v>
      </c>
    </row>
    <row r="18" spans="1:7" ht="12.75">
      <c r="A18" s="140" t="s">
        <v>94</v>
      </c>
      <c r="B18" s="134">
        <v>-0.74526279</v>
      </c>
      <c r="C18" s="118">
        <v>1.6358585</v>
      </c>
      <c r="D18" s="118">
        <v>-2.1155877</v>
      </c>
      <c r="E18" s="118">
        <v>-0.82896512</v>
      </c>
      <c r="F18" s="156">
        <v>3.9568733000000003</v>
      </c>
      <c r="G18" s="160">
        <v>0.1053277851525888</v>
      </c>
    </row>
    <row r="19" spans="1:7" ht="12.75">
      <c r="A19" s="140" t="s">
        <v>96</v>
      </c>
      <c r="B19" s="134">
        <v>-0.5148949399999999</v>
      </c>
      <c r="C19" s="118">
        <v>-0.29854655</v>
      </c>
      <c r="D19" s="118">
        <v>0.201790476</v>
      </c>
      <c r="E19" s="118">
        <v>0.030625312999999998</v>
      </c>
      <c r="F19" s="153">
        <v>-1.1843687500000002</v>
      </c>
      <c r="G19" s="160">
        <v>-0.24846503709640347</v>
      </c>
    </row>
    <row r="20" spans="1:7" ht="12.75">
      <c r="A20" s="140" t="s">
        <v>98</v>
      </c>
      <c r="B20" s="133">
        <v>1.0427505099999999</v>
      </c>
      <c r="C20" s="117">
        <v>0.5415832</v>
      </c>
      <c r="D20" s="117">
        <v>0.6785000899999999</v>
      </c>
      <c r="E20" s="117">
        <v>1.1862524</v>
      </c>
      <c r="F20" s="154">
        <v>2.5723095000000002</v>
      </c>
      <c r="G20" s="160">
        <v>1.0731473361040407</v>
      </c>
    </row>
    <row r="21" spans="1:7" ht="12.75">
      <c r="A21" s="140" t="s">
        <v>100</v>
      </c>
      <c r="B21" s="134">
        <v>-0.32203896</v>
      </c>
      <c r="C21" s="118">
        <v>-0.033333609</v>
      </c>
      <c r="D21" s="118">
        <v>-0.19551528</v>
      </c>
      <c r="E21" s="118">
        <v>0.0169043799</v>
      </c>
      <c r="F21" s="153">
        <v>0.11693742</v>
      </c>
      <c r="G21" s="160">
        <v>-0.08198884812778258</v>
      </c>
    </row>
    <row r="22" spans="1:7" ht="12.75">
      <c r="A22" s="140" t="s">
        <v>102</v>
      </c>
      <c r="B22" s="134">
        <v>-0.14168365</v>
      </c>
      <c r="C22" s="118">
        <v>0.256832969</v>
      </c>
      <c r="D22" s="118">
        <v>-0.08347660999999999</v>
      </c>
      <c r="E22" s="118">
        <v>-0.08348417999999999</v>
      </c>
      <c r="F22" s="153">
        <v>0.2931472299999999</v>
      </c>
      <c r="G22" s="160">
        <v>0.04024760460932059</v>
      </c>
    </row>
    <row r="23" spans="1:7" ht="12.75">
      <c r="A23" s="140" t="s">
        <v>104</v>
      </c>
      <c r="B23" s="134">
        <v>-0.043859162</v>
      </c>
      <c r="C23" s="118">
        <v>-0.050113838</v>
      </c>
      <c r="D23" s="118">
        <v>-0.10890335800000002</v>
      </c>
      <c r="E23" s="118">
        <v>-0.087317168</v>
      </c>
      <c r="F23" s="153">
        <v>-0.0939643367</v>
      </c>
      <c r="G23" s="160">
        <v>-0.07815765689517894</v>
      </c>
    </row>
    <row r="24" spans="1:7" ht="12.75">
      <c r="A24" s="140" t="s">
        <v>106</v>
      </c>
      <c r="B24" s="133">
        <v>0.11637598999999998</v>
      </c>
      <c r="C24" s="117">
        <v>0.13350139</v>
      </c>
      <c r="D24" s="117">
        <v>0.1140553</v>
      </c>
      <c r="E24" s="117">
        <v>0.14609601</v>
      </c>
      <c r="F24" s="155">
        <v>0.41257636</v>
      </c>
      <c r="G24" s="160">
        <v>0.1666156101747012</v>
      </c>
    </row>
    <row r="25" spans="1:7" ht="12.75">
      <c r="A25" s="140" t="s">
        <v>108</v>
      </c>
      <c r="B25" s="134">
        <v>-0.030409946</v>
      </c>
      <c r="C25" s="118">
        <v>-0.023391172999999998</v>
      </c>
      <c r="D25" s="118">
        <v>-0.064714309</v>
      </c>
      <c r="E25" s="118">
        <v>-0.029564777999999996</v>
      </c>
      <c r="F25" s="153">
        <v>-0.008784433819999998</v>
      </c>
      <c r="G25" s="160">
        <v>-0.033885886061279256</v>
      </c>
    </row>
    <row r="26" spans="1:7" ht="12.75">
      <c r="A26" s="140" t="s">
        <v>110</v>
      </c>
      <c r="B26" s="134">
        <v>0.011883726</v>
      </c>
      <c r="C26" s="118">
        <v>0.029778863</v>
      </c>
      <c r="D26" s="118">
        <v>0.001678905</v>
      </c>
      <c r="E26" s="118">
        <v>0.00017600799999999971</v>
      </c>
      <c r="F26" s="153">
        <v>0.001438609</v>
      </c>
      <c r="G26" s="160">
        <v>0.009523592369360212</v>
      </c>
    </row>
    <row r="27" spans="1:7" ht="12.75">
      <c r="A27" s="140" t="s">
        <v>112</v>
      </c>
      <c r="B27" s="134">
        <v>0.06338306199999999</v>
      </c>
      <c r="C27" s="118">
        <v>0.021016225000000003</v>
      </c>
      <c r="D27" s="118">
        <v>0.0055533587</v>
      </c>
      <c r="E27" s="118">
        <v>0.036440151000000004</v>
      </c>
      <c r="F27" s="153">
        <v>0.032082328</v>
      </c>
      <c r="G27" s="160">
        <v>0.028613781128154853</v>
      </c>
    </row>
    <row r="28" spans="1:7" ht="12.75">
      <c r="A28" s="140" t="s">
        <v>114</v>
      </c>
      <c r="B28" s="134">
        <v>0.013131666</v>
      </c>
      <c r="C28" s="118">
        <v>0.025884927000000002</v>
      </c>
      <c r="D28" s="118">
        <v>0.022955867</v>
      </c>
      <c r="E28" s="118">
        <v>0.030246670000000003</v>
      </c>
      <c r="F28" s="153">
        <v>0.0017370380400000003</v>
      </c>
      <c r="G28" s="160">
        <v>0.021162024747019878</v>
      </c>
    </row>
    <row r="29" spans="1:7" ht="13.5" thickBot="1">
      <c r="A29" s="141" t="s">
        <v>116</v>
      </c>
      <c r="B29" s="136">
        <v>-0.0007132333130000002</v>
      </c>
      <c r="C29" s="120">
        <v>-0.0030183662799999995</v>
      </c>
      <c r="D29" s="120">
        <v>-0.00288052491</v>
      </c>
      <c r="E29" s="120">
        <v>-0.00048089565</v>
      </c>
      <c r="F29" s="157">
        <v>0.00311872806</v>
      </c>
      <c r="G29" s="161">
        <v>-0.001222151569948243</v>
      </c>
    </row>
    <row r="30" spans="1:7" ht="13.5" thickTop="1">
      <c r="A30" s="142" t="s">
        <v>117</v>
      </c>
      <c r="B30" s="137">
        <v>-0.3055861522350147</v>
      </c>
      <c r="C30" s="126">
        <v>0.023083935586757028</v>
      </c>
      <c r="D30" s="126">
        <v>0.2682115393797408</v>
      </c>
      <c r="E30" s="126">
        <v>0.4157159011837954</v>
      </c>
      <c r="F30" s="122">
        <v>0.5466333614507304</v>
      </c>
      <c r="G30" s="162" t="s">
        <v>128</v>
      </c>
    </row>
    <row r="31" spans="1:7" ht="13.5" thickBot="1">
      <c r="A31" s="143" t="s">
        <v>118</v>
      </c>
      <c r="B31" s="132">
        <v>21.636964</v>
      </c>
      <c r="C31" s="123">
        <v>21.649171</v>
      </c>
      <c r="D31" s="123">
        <v>21.697999</v>
      </c>
      <c r="E31" s="123">
        <v>21.777344</v>
      </c>
      <c r="F31" s="124">
        <v>21.871949</v>
      </c>
      <c r="G31" s="164">
        <v>-209.62</v>
      </c>
    </row>
    <row r="32" spans="1:7" ht="15.75" thickBot="1" thickTop="1">
      <c r="A32" s="144" t="s">
        <v>119</v>
      </c>
      <c r="B32" s="138">
        <v>-0.46700000762939453</v>
      </c>
      <c r="C32" s="127">
        <v>0.38450001180171967</v>
      </c>
      <c r="D32" s="127">
        <v>-0.41600000858306885</v>
      </c>
      <c r="E32" s="127">
        <v>0.398499995470047</v>
      </c>
      <c r="F32" s="125">
        <v>-0.32099999487400055</v>
      </c>
      <c r="G32" s="130" t="s">
        <v>127</v>
      </c>
    </row>
    <row r="33" spans="1:7" ht="15" thickTop="1">
      <c r="A33" t="s">
        <v>123</v>
      </c>
      <c r="G33" s="32" t="s">
        <v>124</v>
      </c>
    </row>
    <row r="34" ht="14.25">
      <c r="A34" t="s">
        <v>125</v>
      </c>
    </row>
    <row r="35" spans="1:2" ht="12.75">
      <c r="A35" t="s">
        <v>126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70.5" style="165" bestFit="1" customWidth="1"/>
    <col min="2" max="2" width="15.33203125" style="165" bestFit="1" customWidth="1"/>
    <col min="3" max="3" width="14.83203125" style="165" bestFit="1" customWidth="1"/>
    <col min="4" max="4" width="16" style="165" bestFit="1" customWidth="1"/>
    <col min="5" max="5" width="22.16015625" style="165" bestFit="1" customWidth="1"/>
    <col min="6" max="6" width="14.83203125" style="165" bestFit="1" customWidth="1"/>
    <col min="7" max="7" width="15.33203125" style="165" bestFit="1" customWidth="1"/>
    <col min="8" max="8" width="14.16015625" style="165" bestFit="1" customWidth="1"/>
    <col min="9" max="9" width="14.83203125" style="165" bestFit="1" customWidth="1"/>
    <col min="10" max="10" width="6.33203125" style="165" bestFit="1" customWidth="1"/>
    <col min="11" max="11" width="15" style="165" bestFit="1" customWidth="1"/>
    <col min="12" max="16384" width="10.66015625" style="165" customWidth="1"/>
  </cols>
  <sheetData>
    <row r="1" spans="1:5" ht="12.75">
      <c r="A1" s="165" t="s">
        <v>129</v>
      </c>
      <c r="B1" s="165" t="s">
        <v>130</v>
      </c>
      <c r="C1" s="165" t="s">
        <v>131</v>
      </c>
      <c r="D1" s="165" t="s">
        <v>132</v>
      </c>
      <c r="E1" s="165" t="s">
        <v>28</v>
      </c>
    </row>
    <row r="3" spans="1:7" ht="12.75">
      <c r="A3" s="165" t="s">
        <v>133</v>
      </c>
      <c r="B3" s="165" t="s">
        <v>84</v>
      </c>
      <c r="C3" s="165" t="s">
        <v>85</v>
      </c>
      <c r="D3" s="165" t="s">
        <v>86</v>
      </c>
      <c r="E3" s="165" t="s">
        <v>87</v>
      </c>
      <c r="F3" s="165" t="s">
        <v>88</v>
      </c>
      <c r="G3" s="165" t="s">
        <v>134</v>
      </c>
    </row>
    <row r="4" spans="1:7" ht="12.75">
      <c r="A4" s="165" t="s">
        <v>135</v>
      </c>
      <c r="B4" s="165">
        <f>0.002254*1.0033</f>
        <v>0.0022614382000000002</v>
      </c>
      <c r="C4" s="165">
        <f>0.003748*1.0033</f>
        <v>0.0037603684</v>
      </c>
      <c r="D4" s="165">
        <f>0.003748*1.0033</f>
        <v>0.0037603684</v>
      </c>
      <c r="E4" s="165">
        <f>0.003748*1.0033</f>
        <v>0.0037603684</v>
      </c>
      <c r="F4" s="165">
        <f>0.002079*1.0033</f>
        <v>0.0020858607000000004</v>
      </c>
      <c r="G4" s="165">
        <f>0.01168*1.0033</f>
        <v>0.011718544000000001</v>
      </c>
    </row>
    <row r="5" spans="1:7" ht="12.75">
      <c r="A5" s="165" t="s">
        <v>136</v>
      </c>
      <c r="B5" s="165">
        <v>8.392792</v>
      </c>
      <c r="C5" s="165">
        <v>3.523468</v>
      </c>
      <c r="D5" s="165">
        <v>-1.574677</v>
      </c>
      <c r="E5" s="165">
        <v>-3.385943</v>
      </c>
      <c r="F5" s="165">
        <v>-6.460115</v>
      </c>
      <c r="G5" s="165">
        <v>3.471381</v>
      </c>
    </row>
    <row r="6" spans="1:7" ht="12.75">
      <c r="A6" s="165" t="s">
        <v>137</v>
      </c>
      <c r="B6" s="166">
        <v>29.47488</v>
      </c>
      <c r="C6" s="166">
        <v>-20.20653</v>
      </c>
      <c r="D6" s="166">
        <v>33.5375</v>
      </c>
      <c r="E6" s="166">
        <v>9.988291</v>
      </c>
      <c r="F6" s="166">
        <v>-74.02102</v>
      </c>
      <c r="G6" s="166">
        <v>-0.001651619</v>
      </c>
    </row>
    <row r="7" spans="1:7" ht="12.75">
      <c r="A7" s="165" t="s">
        <v>138</v>
      </c>
      <c r="B7" s="166">
        <v>10000</v>
      </c>
      <c r="C7" s="166">
        <v>10000</v>
      </c>
      <c r="D7" s="166">
        <v>10000</v>
      </c>
      <c r="E7" s="166">
        <v>10000</v>
      </c>
      <c r="F7" s="166">
        <v>10000</v>
      </c>
      <c r="G7" s="166">
        <v>10000</v>
      </c>
    </row>
    <row r="8" spans="1:7" ht="12.75">
      <c r="A8" s="165" t="s">
        <v>91</v>
      </c>
      <c r="B8" s="166">
        <v>3.107448</v>
      </c>
      <c r="C8" s="166">
        <v>2.164397</v>
      </c>
      <c r="D8" s="166">
        <v>3.230262</v>
      </c>
      <c r="E8" s="166">
        <v>0.8925318</v>
      </c>
      <c r="F8" s="166">
        <v>-0.6860751</v>
      </c>
      <c r="G8" s="166">
        <v>1.870929</v>
      </c>
    </row>
    <row r="9" spans="1:7" ht="12.75">
      <c r="A9" s="165" t="s">
        <v>93</v>
      </c>
      <c r="B9" s="166">
        <v>-0.1227097</v>
      </c>
      <c r="C9" s="166">
        <v>0.4009003</v>
      </c>
      <c r="D9" s="166">
        <v>-0.3139331</v>
      </c>
      <c r="E9" s="166">
        <v>-0.4885015</v>
      </c>
      <c r="F9" s="166">
        <v>0.1566421</v>
      </c>
      <c r="G9" s="166">
        <v>-0.09345974</v>
      </c>
    </row>
    <row r="10" spans="1:7" ht="12.75">
      <c r="A10" s="165" t="s">
        <v>95</v>
      </c>
      <c r="B10" s="166">
        <v>-0.4135026</v>
      </c>
      <c r="C10" s="166">
        <v>-0.4948191</v>
      </c>
      <c r="D10" s="166">
        <v>-1.120485</v>
      </c>
      <c r="E10" s="166">
        <v>-0.2200765</v>
      </c>
      <c r="F10" s="166">
        <v>-2.535481</v>
      </c>
      <c r="G10" s="166">
        <v>-0.8397977</v>
      </c>
    </row>
    <row r="11" spans="1:7" ht="12.75">
      <c r="A11" s="165" t="s">
        <v>97</v>
      </c>
      <c r="B11" s="166">
        <v>3.423829</v>
      </c>
      <c r="C11" s="166">
        <v>3.107333</v>
      </c>
      <c r="D11" s="166">
        <v>2.90283</v>
      </c>
      <c r="E11" s="166">
        <v>3.391879</v>
      </c>
      <c r="F11" s="166">
        <v>14.27779</v>
      </c>
      <c r="G11" s="166">
        <v>4.662934</v>
      </c>
    </row>
    <row r="12" spans="1:7" ht="12.75">
      <c r="A12" s="165" t="s">
        <v>99</v>
      </c>
      <c r="B12" s="166">
        <v>0.07830696</v>
      </c>
      <c r="C12" s="166">
        <v>0.02257513</v>
      </c>
      <c r="D12" s="166">
        <v>0.0437837</v>
      </c>
      <c r="E12" s="166">
        <v>-0.06055901</v>
      </c>
      <c r="F12" s="166">
        <v>-0.03734564</v>
      </c>
      <c r="G12" s="166">
        <v>0.007737844</v>
      </c>
    </row>
    <row r="13" spans="1:7" ht="12.75">
      <c r="A13" s="165" t="s">
        <v>101</v>
      </c>
      <c r="B13" s="166">
        <v>0.05479136</v>
      </c>
      <c r="C13" s="166">
        <v>0.01819178</v>
      </c>
      <c r="D13" s="166">
        <v>0.0474754</v>
      </c>
      <c r="E13" s="166">
        <v>-0.03153397</v>
      </c>
      <c r="F13" s="166">
        <v>0.04189797</v>
      </c>
      <c r="G13" s="166">
        <v>0.02173339</v>
      </c>
    </row>
    <row r="14" spans="1:7" ht="12.75">
      <c r="A14" s="165" t="s">
        <v>103</v>
      </c>
      <c r="B14" s="166">
        <v>-0.2299708</v>
      </c>
      <c r="C14" s="166">
        <v>-0.08232271</v>
      </c>
      <c r="D14" s="166">
        <v>-0.07966613</v>
      </c>
      <c r="E14" s="166">
        <v>-0.002923987</v>
      </c>
      <c r="F14" s="166">
        <v>0.04198262</v>
      </c>
      <c r="G14" s="166">
        <v>-0.06735831</v>
      </c>
    </row>
    <row r="15" spans="1:7" ht="12.75">
      <c r="A15" s="165" t="s">
        <v>139</v>
      </c>
      <c r="B15" s="166">
        <v>-0.2896701</v>
      </c>
      <c r="C15" s="166">
        <v>-0.04264411</v>
      </c>
      <c r="D15" s="166">
        <v>-0.04993571</v>
      </c>
      <c r="E15" s="166">
        <v>0.0007872369</v>
      </c>
      <c r="F15" s="166">
        <v>-0.3126095</v>
      </c>
      <c r="G15" s="166">
        <v>-0.1056995</v>
      </c>
    </row>
    <row r="16" spans="1:7" ht="12.75">
      <c r="A16" s="165" t="s">
        <v>107</v>
      </c>
      <c r="B16" s="166">
        <v>0.01315742</v>
      </c>
      <c r="C16" s="166">
        <v>-0.001867199</v>
      </c>
      <c r="D16" s="166">
        <v>-0.02066624</v>
      </c>
      <c r="E16" s="166">
        <v>-0.008589778</v>
      </c>
      <c r="F16" s="166">
        <v>-0.04385666</v>
      </c>
      <c r="G16" s="166">
        <v>-0.01143929</v>
      </c>
    </row>
    <row r="17" spans="1:7" ht="12.75">
      <c r="A17" s="165" t="s">
        <v>109</v>
      </c>
      <c r="B17" s="166">
        <v>-0.01314857</v>
      </c>
      <c r="C17" s="166">
        <v>-0.001197731</v>
      </c>
      <c r="D17" s="166">
        <v>-0.003151367</v>
      </c>
      <c r="E17" s="166">
        <v>-0.003076235</v>
      </c>
      <c r="F17" s="166">
        <v>-0.0101304</v>
      </c>
      <c r="G17" s="166">
        <v>-0.005040049</v>
      </c>
    </row>
    <row r="18" spans="1:7" ht="12.75">
      <c r="A18" s="165" t="s">
        <v>111</v>
      </c>
      <c r="B18" s="166">
        <v>0.004888001</v>
      </c>
      <c r="C18" s="166">
        <v>0.02583814</v>
      </c>
      <c r="D18" s="166">
        <v>0.02586276</v>
      </c>
      <c r="E18" s="166">
        <v>0.03345701</v>
      </c>
      <c r="F18" s="166">
        <v>0.02582397</v>
      </c>
      <c r="G18" s="166">
        <v>0.02464677</v>
      </c>
    </row>
    <row r="19" spans="1:7" ht="12.75">
      <c r="A19" s="165" t="s">
        <v>113</v>
      </c>
      <c r="B19" s="166">
        <v>-0.1882407</v>
      </c>
      <c r="C19" s="166">
        <v>-0.166635</v>
      </c>
      <c r="D19" s="166">
        <v>-0.1693609</v>
      </c>
      <c r="E19" s="166">
        <v>-0.1691245</v>
      </c>
      <c r="F19" s="166">
        <v>-0.1263242</v>
      </c>
      <c r="G19" s="166">
        <v>-0.1656352</v>
      </c>
    </row>
    <row r="20" spans="1:7" ht="12.75">
      <c r="A20" s="165" t="s">
        <v>115</v>
      </c>
      <c r="B20" s="166">
        <v>0.0007239705</v>
      </c>
      <c r="C20" s="166">
        <v>0.001539565</v>
      </c>
      <c r="D20" s="166">
        <v>0.0008111125</v>
      </c>
      <c r="E20" s="166">
        <v>-0.001303984</v>
      </c>
      <c r="F20" s="166">
        <v>5.87785E-05</v>
      </c>
      <c r="G20" s="166">
        <v>0.0003643571</v>
      </c>
    </row>
    <row r="21" spans="1:7" ht="12.75">
      <c r="A21" s="165" t="s">
        <v>140</v>
      </c>
      <c r="B21" s="166">
        <v>-98.05561</v>
      </c>
      <c r="C21" s="166">
        <v>77.40503</v>
      </c>
      <c r="D21" s="166">
        <v>95.26309</v>
      </c>
      <c r="E21" s="166">
        <v>-34.12677</v>
      </c>
      <c r="F21" s="166">
        <v>-143.516</v>
      </c>
      <c r="G21" s="166">
        <v>0.000945115</v>
      </c>
    </row>
    <row r="22" spans="1:7" ht="12.75">
      <c r="A22" s="165" t="s">
        <v>141</v>
      </c>
      <c r="B22" s="166">
        <v>167.8716</v>
      </c>
      <c r="C22" s="166">
        <v>70.47053</v>
      </c>
      <c r="D22" s="166">
        <v>-31.49364</v>
      </c>
      <c r="E22" s="166">
        <v>-67.71989</v>
      </c>
      <c r="F22" s="166">
        <v>-129.2095</v>
      </c>
      <c r="G22" s="166">
        <v>0</v>
      </c>
    </row>
    <row r="23" spans="1:7" ht="12.75">
      <c r="A23" s="165" t="s">
        <v>92</v>
      </c>
      <c r="B23" s="166">
        <v>-1.778804</v>
      </c>
      <c r="C23" s="166">
        <v>-0.6691457</v>
      </c>
      <c r="D23" s="166">
        <v>-0.05945472</v>
      </c>
      <c r="E23" s="166">
        <v>0.385469</v>
      </c>
      <c r="F23" s="166">
        <v>4.987834</v>
      </c>
      <c r="G23" s="166">
        <v>0.3255686</v>
      </c>
    </row>
    <row r="24" spans="1:7" ht="12.75">
      <c r="A24" s="165" t="s">
        <v>94</v>
      </c>
      <c r="B24" s="166">
        <v>-0.7303851</v>
      </c>
      <c r="C24" s="166">
        <v>1.633316</v>
      </c>
      <c r="D24" s="166">
        <v>-2.149461</v>
      </c>
      <c r="E24" s="166">
        <v>-0.8152693</v>
      </c>
      <c r="F24" s="166">
        <v>4.156394</v>
      </c>
      <c r="G24" s="166">
        <v>0.1285936</v>
      </c>
    </row>
    <row r="25" spans="1:7" ht="12.75">
      <c r="A25" s="165" t="s">
        <v>96</v>
      </c>
      <c r="B25" s="166">
        <v>-0.6893472</v>
      </c>
      <c r="C25" s="166">
        <v>-0.1914154</v>
      </c>
      <c r="D25" s="166">
        <v>0.3602343</v>
      </c>
      <c r="E25" s="166">
        <v>-0.01627857</v>
      </c>
      <c r="F25" s="166">
        <v>-2.218345</v>
      </c>
      <c r="G25" s="166">
        <v>-0.3590078</v>
      </c>
    </row>
    <row r="26" spans="1:7" ht="12.75">
      <c r="A26" s="165" t="s">
        <v>142</v>
      </c>
      <c r="B26" s="166">
        <v>1.211273</v>
      </c>
      <c r="C26" s="166">
        <v>0.6101609</v>
      </c>
      <c r="D26" s="166">
        <v>0.6503173</v>
      </c>
      <c r="E26" s="166">
        <v>1.119478</v>
      </c>
      <c r="F26" s="166">
        <v>2.019225</v>
      </c>
      <c r="G26" s="166">
        <v>1.017177</v>
      </c>
    </row>
    <row r="27" spans="1:7" ht="12.75">
      <c r="A27" s="165" t="s">
        <v>100</v>
      </c>
      <c r="B27" s="166">
        <v>-0.3422117</v>
      </c>
      <c r="C27" s="166">
        <v>-0.04794224</v>
      </c>
      <c r="D27" s="166">
        <v>-0.2074579</v>
      </c>
      <c r="E27" s="166">
        <v>0.005634969</v>
      </c>
      <c r="F27" s="166">
        <v>0.09003847</v>
      </c>
      <c r="G27" s="166">
        <v>-0.09759776</v>
      </c>
    </row>
    <row r="28" spans="1:7" ht="12.75">
      <c r="A28" s="165" t="s">
        <v>102</v>
      </c>
      <c r="B28" s="166">
        <v>-0.1238463</v>
      </c>
      <c r="C28" s="166">
        <v>0.2520182</v>
      </c>
      <c r="D28" s="166">
        <v>-0.0939257</v>
      </c>
      <c r="E28" s="166">
        <v>-0.08510332</v>
      </c>
      <c r="F28" s="166">
        <v>0.2867961</v>
      </c>
      <c r="G28" s="166">
        <v>0.0379163</v>
      </c>
    </row>
    <row r="29" spans="1:7" ht="12.75">
      <c r="A29" s="165" t="s">
        <v>104</v>
      </c>
      <c r="B29" s="166">
        <v>-0.03225426</v>
      </c>
      <c r="C29" s="166">
        <v>-0.05754311</v>
      </c>
      <c r="D29" s="166">
        <v>-0.1086698</v>
      </c>
      <c r="E29" s="166">
        <v>-0.08558805</v>
      </c>
      <c r="F29" s="166">
        <v>-0.07959236</v>
      </c>
      <c r="G29" s="166">
        <v>-0.07587283</v>
      </c>
    </row>
    <row r="30" spans="1:7" ht="12.75">
      <c r="A30" s="165" t="s">
        <v>106</v>
      </c>
      <c r="B30" s="166">
        <v>0.08941207</v>
      </c>
      <c r="C30" s="166">
        <v>0.1324414</v>
      </c>
      <c r="D30" s="166">
        <v>0.1112486</v>
      </c>
      <c r="E30" s="166">
        <v>0.1466597</v>
      </c>
      <c r="F30" s="166">
        <v>0.4411135</v>
      </c>
      <c r="G30" s="166">
        <v>0.1657317</v>
      </c>
    </row>
    <row r="31" spans="1:7" ht="12.75">
      <c r="A31" s="165" t="s">
        <v>108</v>
      </c>
      <c r="B31" s="166">
        <v>-0.0207719</v>
      </c>
      <c r="C31" s="166">
        <v>-0.01923013</v>
      </c>
      <c r="D31" s="166">
        <v>-0.05986088</v>
      </c>
      <c r="E31" s="166">
        <v>-0.02406085</v>
      </c>
      <c r="F31" s="166">
        <v>0.001100139</v>
      </c>
      <c r="G31" s="166">
        <v>-0.02767866</v>
      </c>
    </row>
    <row r="32" spans="1:7" ht="12.75">
      <c r="A32" s="165" t="s">
        <v>110</v>
      </c>
      <c r="B32" s="166">
        <v>0.01046677</v>
      </c>
      <c r="C32" s="166">
        <v>0.03158072</v>
      </c>
      <c r="D32" s="166">
        <v>0.004918982</v>
      </c>
      <c r="E32" s="166">
        <v>-0.0005854005</v>
      </c>
      <c r="F32" s="166">
        <v>-0.004523233</v>
      </c>
      <c r="G32" s="166">
        <v>0.009553568</v>
      </c>
    </row>
    <row r="33" spans="1:7" ht="12.75">
      <c r="A33" s="165" t="s">
        <v>112</v>
      </c>
      <c r="B33" s="166">
        <v>0.0717552</v>
      </c>
      <c r="C33" s="166">
        <v>0.01674689</v>
      </c>
      <c r="D33" s="166">
        <v>-0.001282908</v>
      </c>
      <c r="E33" s="166">
        <v>0.03745951</v>
      </c>
      <c r="F33" s="166">
        <v>0.0373272</v>
      </c>
      <c r="G33" s="166">
        <v>0.0280951</v>
      </c>
    </row>
    <row r="34" spans="1:7" ht="12.75">
      <c r="A34" s="165" t="s">
        <v>114</v>
      </c>
      <c r="B34" s="166">
        <v>-0.008971352</v>
      </c>
      <c r="C34" s="166">
        <v>0.01771391</v>
      </c>
      <c r="D34" s="166">
        <v>0.026698</v>
      </c>
      <c r="E34" s="166">
        <v>0.03831001</v>
      </c>
      <c r="F34" s="166">
        <v>0.01316263</v>
      </c>
      <c r="G34" s="166">
        <v>0.02037874</v>
      </c>
    </row>
    <row r="35" spans="1:7" ht="12.75">
      <c r="A35" s="165" t="s">
        <v>116</v>
      </c>
      <c r="B35" s="166">
        <v>-0.0006276206</v>
      </c>
      <c r="C35" s="166">
        <v>-0.002941168</v>
      </c>
      <c r="D35" s="166">
        <v>-0.002901073</v>
      </c>
      <c r="E35" s="166">
        <v>-0.0004145914</v>
      </c>
      <c r="F35" s="166">
        <v>0.003126456</v>
      </c>
      <c r="G35" s="166">
        <v>-0.001179256</v>
      </c>
    </row>
    <row r="36" spans="1:6" ht="12.75">
      <c r="A36" s="165" t="s">
        <v>143</v>
      </c>
      <c r="B36" s="166">
        <v>21.87195</v>
      </c>
      <c r="C36" s="166">
        <v>21.87195</v>
      </c>
      <c r="D36" s="166">
        <v>21.8811</v>
      </c>
      <c r="E36" s="166">
        <v>21.88721</v>
      </c>
      <c r="F36" s="166">
        <v>21.89636</v>
      </c>
    </row>
    <row r="37" spans="1:6" ht="12.75">
      <c r="A37" s="165" t="s">
        <v>144</v>
      </c>
      <c r="B37" s="166">
        <v>-0.3133138</v>
      </c>
      <c r="C37" s="166">
        <v>-0.3072103</v>
      </c>
      <c r="D37" s="166">
        <v>-0.3077189</v>
      </c>
      <c r="E37" s="166">
        <v>-0.3051758</v>
      </c>
      <c r="F37" s="166">
        <v>-0.302124</v>
      </c>
    </row>
    <row r="38" spans="1:7" ht="12.75">
      <c r="A38" s="165" t="s">
        <v>145</v>
      </c>
      <c r="B38" s="166">
        <v>-4.729565E-05</v>
      </c>
      <c r="C38" s="166">
        <v>3.342214E-05</v>
      </c>
      <c r="D38" s="166">
        <v>-5.650316E-05</v>
      </c>
      <c r="E38" s="166">
        <v>-1.737218E-05</v>
      </c>
      <c r="F38" s="166">
        <v>0.0001226628</v>
      </c>
      <c r="G38" s="166">
        <v>0.0001997262</v>
      </c>
    </row>
    <row r="39" spans="1:7" ht="12.75">
      <c r="A39" s="165" t="s">
        <v>146</v>
      </c>
      <c r="B39" s="166">
        <v>0.0001674885</v>
      </c>
      <c r="C39" s="166">
        <v>-0.0001318241</v>
      </c>
      <c r="D39" s="166">
        <v>-0.0001621252</v>
      </c>
      <c r="E39" s="166">
        <v>5.789787E-05</v>
      </c>
      <c r="F39" s="166">
        <v>0.0002455621</v>
      </c>
      <c r="G39" s="166">
        <v>0.0004441923</v>
      </c>
    </row>
    <row r="40" spans="2:5" ht="12.75">
      <c r="B40" s="165" t="s">
        <v>147</v>
      </c>
      <c r="C40" s="165">
        <v>-0.003748</v>
      </c>
      <c r="D40" s="165" t="s">
        <v>148</v>
      </c>
      <c r="E40" s="165">
        <v>3.116513</v>
      </c>
    </row>
    <row r="42" ht="12.75">
      <c r="A42" s="165" t="s">
        <v>149</v>
      </c>
    </row>
    <row r="50" spans="1:7" ht="12.75">
      <c r="A50" s="165" t="s">
        <v>150</v>
      </c>
      <c r="B50" s="165">
        <f>-0.017/(B7*B7+B22*B22)*(B21*B22+B6*B7)</f>
        <v>-4.7295639811551355E-05</v>
      </c>
      <c r="C50" s="165">
        <f>-0.017/(C7*C7+C22*C22)*(C21*C22+C6*C7)</f>
        <v>3.342212973199626E-05</v>
      </c>
      <c r="D50" s="165">
        <f>-0.017/(D7*D7+D22*D22)*(D21*D22+D6*D7)</f>
        <v>-5.650315872528446E-05</v>
      </c>
      <c r="E50" s="165">
        <f>-0.017/(E7*E7+E22*E22)*(E21*E22+E6*E7)</f>
        <v>-1.7372178403541945E-05</v>
      </c>
      <c r="F50" s="165">
        <f>-0.017/(F7*F7+F22*F22)*(F21*F22+F6*F7)</f>
        <v>0.0001226628381204407</v>
      </c>
      <c r="G50" s="165">
        <f>(B50*B$4+C50*C$4+D50*D$4+E50*E$4+F50*F$4)/SUM(B$4:F$4)</f>
        <v>-2.0587744791422444E-07</v>
      </c>
    </row>
    <row r="51" spans="1:7" ht="12.75">
      <c r="A51" s="165" t="s">
        <v>151</v>
      </c>
      <c r="B51" s="165">
        <f>-0.017/(B7*B7+B22*B22)*(B21*B7-B6*B22)</f>
        <v>0.0001674884964728189</v>
      </c>
      <c r="C51" s="165">
        <f>-0.017/(C7*C7+C22*C22)*(C21*C7-C6*C22)</f>
        <v>-0.00013182407851959426</v>
      </c>
      <c r="D51" s="165">
        <f>-0.017/(D7*D7+D22*D22)*(D21*D7-D6*D22)</f>
        <v>-0.0001621252020139757</v>
      </c>
      <c r="E51" s="165">
        <f>-0.017/(E7*E7+E22*E22)*(E21*E7-E6*E22)</f>
        <v>5.789786479894518E-05</v>
      </c>
      <c r="F51" s="165">
        <f>-0.017/(F7*F7+F22*F22)*(F21*F7-F6*F22)</f>
        <v>0.0002455621203982123</v>
      </c>
      <c r="G51" s="165">
        <f>(B51*B$4+C51*C$4+D51*D$4+E51*E$4+F51*F$4)/SUM(B$4:F$4)</f>
        <v>2.132639907712412E-07</v>
      </c>
    </row>
    <row r="58" ht="12.75">
      <c r="A58" s="165" t="s">
        <v>153</v>
      </c>
    </row>
    <row r="60" spans="2:6" ht="12.75">
      <c r="B60" s="165" t="s">
        <v>84</v>
      </c>
      <c r="C60" s="165" t="s">
        <v>85</v>
      </c>
      <c r="D60" s="165" t="s">
        <v>86</v>
      </c>
      <c r="E60" s="165" t="s">
        <v>87</v>
      </c>
      <c r="F60" s="165" t="s">
        <v>88</v>
      </c>
    </row>
    <row r="61" spans="1:6" ht="12.75">
      <c r="A61" s="165" t="s">
        <v>155</v>
      </c>
      <c r="B61" s="165">
        <f>B6+(1/0.017)*(B7*B50-B22*B51)</f>
        <v>0</v>
      </c>
      <c r="C61" s="165">
        <f>C6+(1/0.017)*(C7*C50-C22*C51)</f>
        <v>0</v>
      </c>
      <c r="D61" s="165">
        <f>D6+(1/0.017)*(D7*D50-D22*D51)</f>
        <v>0</v>
      </c>
      <c r="E61" s="165">
        <f>E6+(1/0.017)*(E7*E50-E22*E51)</f>
        <v>0</v>
      </c>
      <c r="F61" s="165">
        <f>F6+(1/0.017)*(F7*F50-F22*F51)</f>
        <v>0</v>
      </c>
    </row>
    <row r="62" spans="1:6" ht="12.75">
      <c r="A62" s="165" t="s">
        <v>158</v>
      </c>
      <c r="B62" s="165">
        <f>B7+(2/0.017)*(B8*B50-B23*B51)</f>
        <v>10000.01776005484</v>
      </c>
      <c r="C62" s="165">
        <f>C7+(2/0.017)*(C8*C50-C23*C51)</f>
        <v>9999.998132852003</v>
      </c>
      <c r="D62" s="165">
        <f>D7+(2/0.017)*(D8*D50-D23*D51)</f>
        <v>9999.977393045294</v>
      </c>
      <c r="E62" s="165">
        <f>E7+(2/0.017)*(E8*E50-E23*E51)</f>
        <v>9999.995550228976</v>
      </c>
      <c r="F62" s="165">
        <f>F7+(2/0.017)*(F8*F50-F23*F51)</f>
        <v>9999.846002469158</v>
      </c>
    </row>
    <row r="63" spans="1:6" ht="12.75">
      <c r="A63" s="165" t="s">
        <v>159</v>
      </c>
      <c r="B63" s="165">
        <f>B8+(3/0.017)*(B9*B50-B24*B51)</f>
        <v>3.130060012238424</v>
      </c>
      <c r="C63" s="165">
        <f>C8+(3/0.017)*(C9*C50-C24*C51)</f>
        <v>2.2047574679648543</v>
      </c>
      <c r="D63" s="165">
        <f>D8+(3/0.017)*(D9*D50-D24*D51)</f>
        <v>3.1718954846351046</v>
      </c>
      <c r="E63" s="165">
        <f>E8+(3/0.017)*(E9*E50-E24*E51)</f>
        <v>0.902359215337858</v>
      </c>
      <c r="F63" s="165">
        <f>F8+(3/0.017)*(F9*F50-F24*F51)</f>
        <v>-0.8627995869344579</v>
      </c>
    </row>
    <row r="64" spans="1:6" ht="12.75">
      <c r="A64" s="165" t="s">
        <v>160</v>
      </c>
      <c r="B64" s="165">
        <f>B9+(4/0.017)*(B10*B50-B25*B51)</f>
        <v>-0.09094155973964999</v>
      </c>
      <c r="C64" s="165">
        <f>C9+(4/0.017)*(C10*C50-C25*C51)</f>
        <v>0.39107181367681665</v>
      </c>
      <c r="D64" s="165">
        <f>D9+(4/0.017)*(D10*D50-D25*D51)</f>
        <v>-0.28529451165549097</v>
      </c>
      <c r="E64" s="165">
        <f>E9+(4/0.017)*(E10*E50-E25*E51)</f>
        <v>-0.48738015819637476</v>
      </c>
      <c r="F64" s="165">
        <f>F9+(4/0.017)*(F10*F50-F25*F51)</f>
        <v>0.21163791329748688</v>
      </c>
    </row>
    <row r="65" spans="1:6" ht="12.75">
      <c r="A65" s="165" t="s">
        <v>161</v>
      </c>
      <c r="B65" s="165">
        <f>B10+(5/0.017)*(B11*B50-B26*B51)</f>
        <v>-0.5207986225730779</v>
      </c>
      <c r="C65" s="165">
        <f>C10+(5/0.017)*(C11*C50-C26*C51)</f>
        <v>-0.440616869106559</v>
      </c>
      <c r="D65" s="165">
        <f>D10+(5/0.017)*(D11*D50-D26*D51)</f>
        <v>-1.1377162472373041</v>
      </c>
      <c r="E65" s="165">
        <f>E10+(5/0.017)*(E11*E50-E26*E51)</f>
        <v>-0.25647053323547675</v>
      </c>
      <c r="F65" s="165">
        <f>F10+(5/0.017)*(F11*F50-F26*F51)</f>
        <v>-2.1662136261980685</v>
      </c>
    </row>
    <row r="66" spans="1:6" ht="12.75">
      <c r="A66" s="165" t="s">
        <v>162</v>
      </c>
      <c r="B66" s="165">
        <f>B11+(6/0.017)*(B12*B50-B27*B51)</f>
        <v>3.442751216000062</v>
      </c>
      <c r="C66" s="165">
        <f>C11+(6/0.017)*(C12*C50-C27*C51)</f>
        <v>3.105368729640028</v>
      </c>
      <c r="D66" s="165">
        <f>D11+(6/0.017)*(D12*D50-D27*D51)</f>
        <v>2.8900859748361496</v>
      </c>
      <c r="E66" s="165">
        <f>E11+(6/0.017)*(E12*E50-E27*E51)</f>
        <v>3.3921351609125954</v>
      </c>
      <c r="F66" s="165">
        <f>F11+(6/0.017)*(F12*F50-F27*F51)</f>
        <v>14.268369661245494</v>
      </c>
    </row>
    <row r="67" spans="1:6" ht="12.75">
      <c r="A67" s="165" t="s">
        <v>163</v>
      </c>
      <c r="B67" s="165">
        <f>B12+(7/0.017)*(B13*B50-B28*B51)</f>
        <v>0.08578108159256684</v>
      </c>
      <c r="C67" s="165">
        <f>C12+(7/0.017)*(C13*C50-C28*C51)</f>
        <v>0.036505160889098776</v>
      </c>
      <c r="D67" s="165">
        <f>D12+(7/0.017)*(D13*D50-D28*D51)</f>
        <v>0.03640889811530276</v>
      </c>
      <c r="E67" s="165">
        <f>E12+(7/0.017)*(E13*E50-E28*E51)</f>
        <v>-0.05830455118380041</v>
      </c>
      <c r="F67" s="165">
        <f>F12+(7/0.017)*(F13*F50-F28*F51)</f>
        <v>-0.06422849539316286</v>
      </c>
    </row>
    <row r="68" spans="1:6" ht="12.75">
      <c r="A68" s="165" t="s">
        <v>164</v>
      </c>
      <c r="B68" s="165">
        <f>B13+(8/0.017)*(B14*B50-B29*B51)</f>
        <v>0.06245198759351421</v>
      </c>
      <c r="C68" s="165">
        <f>C13+(8/0.017)*(C14*C50-C29*C51)</f>
        <v>0.01332732459086534</v>
      </c>
      <c r="D68" s="165">
        <f>D13+(8/0.017)*(D14*D50-D29*D51)</f>
        <v>0.041302823393223914</v>
      </c>
      <c r="E68" s="165">
        <f>E13+(8/0.017)*(E14*E50-E29*E51)</f>
        <v>-0.029178129354767532</v>
      </c>
      <c r="F68" s="165">
        <f>F13+(8/0.017)*(F14*F50-F29*F51)</f>
        <v>0.05351894694589639</v>
      </c>
    </row>
    <row r="69" spans="1:6" ht="12.75">
      <c r="A69" s="165" t="s">
        <v>165</v>
      </c>
      <c r="B69" s="165">
        <f>B14+(9/0.017)*(B15*B50-B30*B51)</f>
        <v>-0.23064599083020101</v>
      </c>
      <c r="C69" s="165">
        <f>C14+(9/0.017)*(C15*C50-C30*C51)</f>
        <v>-0.07383427606911322</v>
      </c>
      <c r="D69" s="165">
        <f>D14+(9/0.017)*(D15*D50-D30*D51)</f>
        <v>-0.06862380388984378</v>
      </c>
      <c r="E69" s="165">
        <f>E14+(9/0.017)*(E15*E50-E30*E51)</f>
        <v>-0.007426612618666976</v>
      </c>
      <c r="F69" s="165">
        <f>F14+(9/0.017)*(F15*F50-F30*F51)</f>
        <v>-0.03566426317689403</v>
      </c>
    </row>
    <row r="70" spans="1:6" ht="12.75">
      <c r="A70" s="165" t="s">
        <v>166</v>
      </c>
      <c r="B70" s="165">
        <f>B15+(10/0.017)*(B16*B50-B31*B51)</f>
        <v>-0.28798964958663853</v>
      </c>
      <c r="C70" s="165">
        <f>C15+(10/0.017)*(C16*C50-C31*C51)</f>
        <v>-0.04417199231427968</v>
      </c>
      <c r="D70" s="165">
        <f>D15+(10/0.017)*(D16*D50-D31*D51)</f>
        <v>-0.054957621425740906</v>
      </c>
      <c r="E70" s="165">
        <f>E15+(10/0.017)*(E16*E50-E31*E51)</f>
        <v>0.001694469250653247</v>
      </c>
      <c r="F70" s="165">
        <f>F15+(10/0.017)*(F16*F50-F31*F51)</f>
        <v>-0.31593287344215054</v>
      </c>
    </row>
    <row r="71" spans="1:6" ht="12.75">
      <c r="A71" s="165" t="s">
        <v>167</v>
      </c>
      <c r="B71" s="165">
        <f>B16+(11/0.017)*(B17*B50-B32*B51)</f>
        <v>0.012425471239166576</v>
      </c>
      <c r="C71" s="165">
        <f>C16+(11/0.017)*(C17*C50-C32*C51)</f>
        <v>0.0008006689125477735</v>
      </c>
      <c r="D71" s="165">
        <f>D16+(11/0.017)*(D17*D50-D32*D51)</f>
        <v>-0.020034999732775702</v>
      </c>
      <c r="E71" s="165">
        <f>E16+(11/0.017)*(E17*E50-E32*E51)</f>
        <v>-0.008533267543260704</v>
      </c>
      <c r="F71" s="165">
        <f>F16+(11/0.017)*(F17*F50-F32*F51)</f>
        <v>-0.043941999895080096</v>
      </c>
    </row>
    <row r="72" spans="1:6" ht="12.75">
      <c r="A72" s="165" t="s">
        <v>168</v>
      </c>
      <c r="B72" s="165">
        <f>B17+(12/0.017)*(B18*B50-B33*B51)</f>
        <v>-0.021795171197741825</v>
      </c>
      <c r="C72" s="165">
        <f>C17+(12/0.017)*(C18*C50-C33*C51)</f>
        <v>0.0009701812419523458</v>
      </c>
      <c r="D72" s="165">
        <f>D17+(12/0.017)*(D18*D50-D33*D51)</f>
        <v>-0.004329710072013612</v>
      </c>
      <c r="E72" s="165">
        <f>E17+(12/0.017)*(E18*E50-E33*E51)</f>
        <v>-0.005017444500223874</v>
      </c>
      <c r="F72" s="165">
        <f>F17+(12/0.017)*(F18*F50-F33*F51)</f>
        <v>-0.014364638773264257</v>
      </c>
    </row>
    <row r="73" spans="1:6" ht="12.75">
      <c r="A73" s="165" t="s">
        <v>169</v>
      </c>
      <c r="B73" s="165">
        <f>B18+(13/0.017)*(B19*B50-B34*B51)</f>
        <v>0.012845195931616194</v>
      </c>
      <c r="C73" s="165">
        <f>C18+(13/0.017)*(C19*C50-C34*C51)</f>
        <v>0.023364946033699513</v>
      </c>
      <c r="D73" s="165">
        <f>D18+(13/0.017)*(D19*D50-D34*D51)</f>
        <v>0.03649052340900235</v>
      </c>
      <c r="E73" s="165">
        <f>E18+(13/0.017)*(E19*E50-E34*E51)</f>
        <v>0.03400759304063451</v>
      </c>
      <c r="F73" s="165">
        <f>F18+(13/0.017)*(F19*F50-F34*F51)</f>
        <v>0.011502919002032541</v>
      </c>
    </row>
    <row r="74" spans="1:6" ht="12.75">
      <c r="A74" s="165" t="s">
        <v>170</v>
      </c>
      <c r="B74" s="165">
        <f>B19+(14/0.017)*(B20*B50-B35*B51)</f>
        <v>-0.18818232940252586</v>
      </c>
      <c r="C74" s="165">
        <f>C19+(14/0.017)*(C20*C50-C35*C51)</f>
        <v>-0.16691192100487923</v>
      </c>
      <c r="D74" s="165">
        <f>D19+(14/0.017)*(D20*D50-D35*D51)</f>
        <v>-0.1697859790884232</v>
      </c>
      <c r="E74" s="165">
        <f>E19+(14/0.017)*(E20*E50-E35*E51)</f>
        <v>-0.169086076588641</v>
      </c>
      <c r="F74" s="165">
        <f>F19+(14/0.017)*(F20*F50-F35*F51)</f>
        <v>-0.12695051818699163</v>
      </c>
    </row>
    <row r="75" spans="1:6" ht="12.75">
      <c r="A75" s="165" t="s">
        <v>171</v>
      </c>
      <c r="B75" s="166">
        <f>B20</f>
        <v>0.0007239705</v>
      </c>
      <c r="C75" s="166">
        <f>C20</f>
        <v>0.001539565</v>
      </c>
      <c r="D75" s="166">
        <f>D20</f>
        <v>0.0008111125</v>
      </c>
      <c r="E75" s="166">
        <f>E20</f>
        <v>-0.001303984</v>
      </c>
      <c r="F75" s="166">
        <f>F20</f>
        <v>5.87785E-05</v>
      </c>
    </row>
    <row r="78" ht="12.75">
      <c r="A78" s="165" t="s">
        <v>153</v>
      </c>
    </row>
    <row r="80" spans="2:6" ht="12.75">
      <c r="B80" s="165" t="s">
        <v>84</v>
      </c>
      <c r="C80" s="165" t="s">
        <v>85</v>
      </c>
      <c r="D80" s="165" t="s">
        <v>86</v>
      </c>
      <c r="E80" s="165" t="s">
        <v>87</v>
      </c>
      <c r="F80" s="165" t="s">
        <v>88</v>
      </c>
    </row>
    <row r="81" spans="1:6" ht="12.75">
      <c r="A81" s="165" t="s">
        <v>172</v>
      </c>
      <c r="B81" s="165">
        <f>B21+(1/0.017)*(B7*B51+B22*B50)</f>
        <v>0</v>
      </c>
      <c r="C81" s="165">
        <f>C21+(1/0.017)*(C7*C51+C22*C50)</f>
        <v>0</v>
      </c>
      <c r="D81" s="165">
        <f>D21+(1/0.017)*(D7*D51+D22*D50)</f>
        <v>0</v>
      </c>
      <c r="E81" s="165">
        <f>E21+(1/0.017)*(E7*E51+E22*E50)</f>
        <v>0</v>
      </c>
      <c r="F81" s="165">
        <f>F21+(1/0.017)*(F7*F51+F22*F50)</f>
        <v>0</v>
      </c>
    </row>
    <row r="82" spans="1:6" ht="12.75">
      <c r="A82" s="165" t="s">
        <v>173</v>
      </c>
      <c r="B82" s="165">
        <f>B22+(2/0.017)*(B8*B51+B23*B50)</f>
        <v>167.94272840784316</v>
      </c>
      <c r="C82" s="165">
        <f>C22+(2/0.017)*(C8*C51+C23*C50)</f>
        <v>70.43433189241522</v>
      </c>
      <c r="D82" s="165">
        <f>D22+(2/0.017)*(D8*D51+D23*D50)</f>
        <v>-31.554857352920816</v>
      </c>
      <c r="E82" s="165">
        <f>E22+(2/0.017)*(E8*E51+E23*E50)</f>
        <v>-67.71459832361788</v>
      </c>
      <c r="F82" s="165">
        <f>F22+(2/0.017)*(F8*F51+F23*F50)</f>
        <v>-129.1573414331523</v>
      </c>
    </row>
    <row r="83" spans="1:6" ht="12.75">
      <c r="A83" s="165" t="s">
        <v>174</v>
      </c>
      <c r="B83" s="165">
        <f>B23+(3/0.017)*(B9*B51+B24*B50)</f>
        <v>-1.7763348998604072</v>
      </c>
      <c r="C83" s="165">
        <f>C23+(3/0.017)*(C9*C51+C24*C50)</f>
        <v>-0.6688385376553618</v>
      </c>
      <c r="D83" s="165">
        <f>D23+(3/0.017)*(D9*D51+D24*D50)</f>
        <v>-0.02904040176826195</v>
      </c>
      <c r="E83" s="165">
        <f>E23+(3/0.017)*(E9*E51+E24*E50)</f>
        <v>0.3829772017515498</v>
      </c>
      <c r="F83" s="165">
        <f>F23+(3/0.017)*(F9*F51+F24*F50)</f>
        <v>5.084592903048189</v>
      </c>
    </row>
    <row r="84" spans="1:6" ht="12.75">
      <c r="A84" s="165" t="s">
        <v>175</v>
      </c>
      <c r="B84" s="165">
        <f>B24+(4/0.017)*(B10*B51+B25*B50)</f>
        <v>-0.739009526325953</v>
      </c>
      <c r="C84" s="165">
        <f>C24+(4/0.017)*(C10*C51+C25*C50)</f>
        <v>1.6471587203670337</v>
      </c>
      <c r="D84" s="165">
        <f>D24+(4/0.017)*(D10*D51+D25*D50)</f>
        <v>-2.111507004435897</v>
      </c>
      <c r="E84" s="165">
        <f>E24+(4/0.017)*(E10*E51+E25*E50)</f>
        <v>-0.818200868287113</v>
      </c>
      <c r="F84" s="165">
        <f>F24+(4/0.017)*(F10*F51+F25*F50)</f>
        <v>3.945870097830666</v>
      </c>
    </row>
    <row r="85" spans="1:6" ht="12.75">
      <c r="A85" s="165" t="s">
        <v>176</v>
      </c>
      <c r="B85" s="165">
        <f>B25+(5/0.017)*(B11*B51+B26*B50)</f>
        <v>-0.5375342470974771</v>
      </c>
      <c r="C85" s="165">
        <f>C25+(5/0.017)*(C11*C51+C26*C50)</f>
        <v>-0.30589435077098087</v>
      </c>
      <c r="D85" s="165">
        <f>D25+(5/0.017)*(D11*D51+D26*D50)</f>
        <v>0.21100874653355076</v>
      </c>
      <c r="E85" s="165">
        <f>E25+(5/0.017)*(E11*E51+E26*E50)</f>
        <v>0.03576107124162972</v>
      </c>
      <c r="F85" s="165">
        <f>F25+(5/0.017)*(F11*F51+F26*F50)</f>
        <v>-1.1142955128517238</v>
      </c>
    </row>
    <row r="86" spans="1:6" ht="12.75">
      <c r="A86" s="165" t="s">
        <v>177</v>
      </c>
      <c r="B86" s="165">
        <f>B26+(6/0.017)*(B12*B51+B27*B50)</f>
        <v>1.2216144010457375</v>
      </c>
      <c r="C86" s="165">
        <f>C26+(6/0.017)*(C12*C51+C27*C50)</f>
        <v>0.6085450373618944</v>
      </c>
      <c r="D86" s="165">
        <f>D26+(6/0.017)*(D12*D51+D27*D50)</f>
        <v>0.6519491536865041</v>
      </c>
      <c r="E86" s="165">
        <f>E26+(6/0.017)*(E12*E51+E27*E50)</f>
        <v>1.118205954449375</v>
      </c>
      <c r="F86" s="165">
        <f>F26+(6/0.017)*(F12*F51+F27*F50)</f>
        <v>2.01988630578501</v>
      </c>
    </row>
    <row r="87" spans="1:6" ht="12.75">
      <c r="A87" s="165" t="s">
        <v>178</v>
      </c>
      <c r="B87" s="165">
        <f>B27+(7/0.017)*(B13*B51+B28*B50)</f>
        <v>-0.33602110073410235</v>
      </c>
      <c r="C87" s="165">
        <f>C27+(7/0.017)*(C13*C51+C28*C50)</f>
        <v>-0.045461411036432295</v>
      </c>
      <c r="D87" s="165">
        <f>D27+(7/0.017)*(D13*D51+D28*D50)</f>
        <v>-0.208441960033028</v>
      </c>
      <c r="E87" s="165">
        <f>E27+(7/0.017)*(E13*E51+E28*E50)</f>
        <v>0.005491955098998711</v>
      </c>
      <c r="F87" s="165">
        <f>F27+(7/0.017)*(F13*F51+F28*F50)</f>
        <v>0.10876049621118711</v>
      </c>
    </row>
    <row r="88" spans="1:6" ht="12.75">
      <c r="A88" s="165" t="s">
        <v>179</v>
      </c>
      <c r="B88" s="165">
        <f>B28+(8/0.017)*(B14*B51+B29*B50)</f>
        <v>-0.1412542894876721</v>
      </c>
      <c r="C88" s="165">
        <f>C28+(8/0.017)*(C14*C51+C29*C50)</f>
        <v>0.25622003628206275</v>
      </c>
      <c r="D88" s="165">
        <f>D28+(8/0.017)*(D14*D51+D29*D50)</f>
        <v>-0.08495813558683926</v>
      </c>
      <c r="E88" s="165">
        <f>E28+(8/0.017)*(E14*E51+E29*E50)</f>
        <v>-0.08448329257891228</v>
      </c>
      <c r="F88" s="165">
        <f>F28+(8/0.017)*(F14*F51+F29*F50)</f>
        <v>0.2870531900784793</v>
      </c>
    </row>
    <row r="89" spans="1:6" ht="12.75">
      <c r="A89" s="165" t="s">
        <v>180</v>
      </c>
      <c r="B89" s="165">
        <f>B29+(9/0.017)*(B15*B51+B30*B50)</f>
        <v>-0.06017819501275922</v>
      </c>
      <c r="C89" s="165">
        <f>C29+(9/0.017)*(C15*C51+C30*C50)</f>
        <v>-0.05222358368120419</v>
      </c>
      <c r="D89" s="165">
        <f>D29+(9/0.017)*(D15*D51+D30*D50)</f>
        <v>-0.1077115965935729</v>
      </c>
      <c r="E89" s="165">
        <f>E29+(9/0.017)*(E15*E51+E30*E50)</f>
        <v>-0.08691275424921653</v>
      </c>
      <c r="F89" s="165">
        <f>F29+(9/0.017)*(F15*F51+F30*F50)</f>
        <v>-0.09158714591179148</v>
      </c>
    </row>
    <row r="90" spans="1:6" ht="12.75">
      <c r="A90" s="165" t="s">
        <v>181</v>
      </c>
      <c r="B90" s="165">
        <f>B30+(10/0.017)*(B16*B51+B31*B50)</f>
        <v>0.09128626811403703</v>
      </c>
      <c r="C90" s="165">
        <f>C30+(10/0.017)*(C16*C51+C31*C50)</f>
        <v>0.13220812346350855</v>
      </c>
      <c r="D90" s="165">
        <f>D30+(10/0.017)*(D16*D51+D31*D50)</f>
        <v>0.11520909831702619</v>
      </c>
      <c r="E90" s="165">
        <f>E30+(10/0.017)*(E16*E51+E31*E50)</f>
        <v>0.14661302916084937</v>
      </c>
      <c r="F90" s="165">
        <f>F30+(10/0.017)*(F16*F51+F31*F50)</f>
        <v>0.4348578598522844</v>
      </c>
    </row>
    <row r="91" spans="1:6" ht="12.75">
      <c r="A91" s="165" t="s">
        <v>182</v>
      </c>
      <c r="B91" s="165">
        <f>B31+(11/0.017)*(B17*B51+B32*B50)</f>
        <v>-0.02251719028492692</v>
      </c>
      <c r="C91" s="165">
        <f>C31+(11/0.017)*(C17*C51+C32*C50)</f>
        <v>-0.01844499871947934</v>
      </c>
      <c r="D91" s="165">
        <f>D31+(11/0.017)*(D17*D51+D32*D50)</f>
        <v>-0.05971012953537612</v>
      </c>
      <c r="E91" s="165">
        <f>E31+(11/0.017)*(E17*E51+E32*E50)</f>
        <v>-0.024169515606950524</v>
      </c>
      <c r="F91" s="165">
        <f>F31+(11/0.017)*(F17*F51+F32*F50)</f>
        <v>-0.0008685213599507607</v>
      </c>
    </row>
    <row r="92" spans="1:6" ht="12.75">
      <c r="A92" s="165" t="s">
        <v>183</v>
      </c>
      <c r="B92" s="165">
        <f>B32+(12/0.017)*(B18*B51+B33*B50)</f>
        <v>0.008649105890194216</v>
      </c>
      <c r="C92" s="165">
        <f>C32+(12/0.017)*(C18*C51+C33*C50)</f>
        <v>0.029571516047548613</v>
      </c>
      <c r="D92" s="165">
        <f>D32+(12/0.017)*(D18*D51+D33*D50)</f>
        <v>0.002010381880975271</v>
      </c>
      <c r="E92" s="165">
        <f>E32+(12/0.017)*(E18*E51+E33*E50)</f>
        <v>0.00032260148889013643</v>
      </c>
      <c r="F92" s="165">
        <f>F32+(12/0.017)*(F18*F51+F33*F50)</f>
        <v>0.0031850369680393904</v>
      </c>
    </row>
    <row r="93" spans="1:6" ht="12.75">
      <c r="A93" s="165" t="s">
        <v>184</v>
      </c>
      <c r="B93" s="165">
        <f>B33+(13/0.017)*(B19*B51+B34*B50)</f>
        <v>0.047969906011335765</v>
      </c>
      <c r="C93" s="165">
        <f>C33+(13/0.017)*(C19*C51+C34*C50)</f>
        <v>0.03399753970520679</v>
      </c>
      <c r="D93" s="165">
        <f>D33+(13/0.017)*(D19*D51+D34*D50)</f>
        <v>0.01856055872491613</v>
      </c>
      <c r="E93" s="165">
        <f>E33+(13/0.017)*(E19*E51+E34*E50)</f>
        <v>0.02946261676904948</v>
      </c>
      <c r="F93" s="165">
        <f>F33+(13/0.017)*(F19*F51+F34*F50)</f>
        <v>0.014840356050775196</v>
      </c>
    </row>
    <row r="94" spans="1:6" ht="12.75">
      <c r="A94" s="165" t="s">
        <v>185</v>
      </c>
      <c r="B94" s="165">
        <f>B34+(14/0.017)*(B20*B51+B35*B50)</f>
        <v>-0.008847048101341048</v>
      </c>
      <c r="C94" s="165">
        <f>C34+(14/0.017)*(C20*C51+C35*C50)</f>
        <v>0.01746582025278361</v>
      </c>
      <c r="D94" s="165">
        <f>D34+(14/0.017)*(D20*D51+D35*D50)</f>
        <v>0.026724697184931593</v>
      </c>
      <c r="E94" s="165">
        <f>E34+(14/0.017)*(E20*E51+E35*E50)</f>
        <v>0.03825376661941573</v>
      </c>
      <c r="F94" s="165">
        <f>F34+(14/0.017)*(F20*F51+F35*F50)</f>
        <v>0.013490340138257359</v>
      </c>
    </row>
    <row r="95" spans="1:6" ht="12.75">
      <c r="A95" s="165" t="s">
        <v>186</v>
      </c>
      <c r="B95" s="166">
        <f>B35</f>
        <v>-0.0006276206</v>
      </c>
      <c r="C95" s="166">
        <f>C35</f>
        <v>-0.002941168</v>
      </c>
      <c r="D95" s="166">
        <f>D35</f>
        <v>-0.002901073</v>
      </c>
      <c r="E95" s="166">
        <f>E35</f>
        <v>-0.0004145914</v>
      </c>
      <c r="F95" s="166">
        <f>F35</f>
        <v>0.003126456</v>
      </c>
    </row>
    <row r="98" ht="12.75">
      <c r="A98" s="165" t="s">
        <v>154</v>
      </c>
    </row>
    <row r="100" spans="2:11" ht="12.75">
      <c r="B100" s="165" t="s">
        <v>84</v>
      </c>
      <c r="C100" s="165" t="s">
        <v>85</v>
      </c>
      <c r="D100" s="165" t="s">
        <v>86</v>
      </c>
      <c r="E100" s="165" t="s">
        <v>87</v>
      </c>
      <c r="F100" s="165" t="s">
        <v>88</v>
      </c>
      <c r="G100" s="165" t="s">
        <v>156</v>
      </c>
      <c r="H100" s="165" t="s">
        <v>157</v>
      </c>
      <c r="I100" s="165" t="s">
        <v>152</v>
      </c>
      <c r="K100" s="165" t="s">
        <v>187</v>
      </c>
    </row>
    <row r="101" spans="1:9" ht="12.75">
      <c r="A101" s="165" t="s">
        <v>155</v>
      </c>
      <c r="B101" s="165">
        <f>B61*10000/B62</f>
        <v>0</v>
      </c>
      <c r="C101" s="165">
        <f>C61*10000/C62</f>
        <v>0</v>
      </c>
      <c r="D101" s="165">
        <f>D61*10000/D62</f>
        <v>0</v>
      </c>
      <c r="E101" s="165">
        <f>E61*10000/E62</f>
        <v>0</v>
      </c>
      <c r="F101" s="165">
        <f>F61*10000/F62</f>
        <v>0</v>
      </c>
      <c r="G101" s="165">
        <f>AVERAGE(C101:E101)</f>
        <v>0</v>
      </c>
      <c r="H101" s="165">
        <f>STDEV(C101:E101)</f>
        <v>0</v>
      </c>
      <c r="I101" s="165">
        <f>(B101*B4+C101*C4+D101*D4+E101*E4+F101*F4)/SUM(B4:F4)</f>
        <v>0</v>
      </c>
    </row>
    <row r="102" spans="1:9" ht="12.75">
      <c r="A102" s="165" t="s">
        <v>158</v>
      </c>
      <c r="B102" s="165">
        <f>B62*10000/B62</f>
        <v>10000</v>
      </c>
      <c r="C102" s="165">
        <f>C62*10000/C62</f>
        <v>10000</v>
      </c>
      <c r="D102" s="165">
        <f>D62*10000/D62</f>
        <v>10000</v>
      </c>
      <c r="E102" s="165">
        <f>E62*10000/E62</f>
        <v>10000</v>
      </c>
      <c r="F102" s="165">
        <f>F62*10000/F62</f>
        <v>10000</v>
      </c>
      <c r="G102" s="165">
        <f>AVERAGE(C102:E102)</f>
        <v>10000</v>
      </c>
      <c r="H102" s="165">
        <f>STDEV(C102:E102)</f>
        <v>0</v>
      </c>
      <c r="I102" s="165">
        <f>(B102*B4+C102*C4+D102*D4+E102*E4+F102*F4)/SUM(B4:F4)</f>
        <v>10000</v>
      </c>
    </row>
    <row r="103" spans="1:11" ht="12.75">
      <c r="A103" s="165" t="s">
        <v>159</v>
      </c>
      <c r="B103" s="165">
        <f>B63*10000/B62</f>
        <v>3.13005445324455</v>
      </c>
      <c r="C103" s="165">
        <f>C63*10000/C62</f>
        <v>2.2047578796257805</v>
      </c>
      <c r="D103" s="165">
        <f>D63*10000/D62</f>
        <v>3.171902655341071</v>
      </c>
      <c r="E103" s="165">
        <f>E63*10000/E62</f>
        <v>0.9023596168672257</v>
      </c>
      <c r="F103" s="165">
        <f>F63*10000/F62</f>
        <v>-0.862812874039676</v>
      </c>
      <c r="G103" s="165">
        <f>AVERAGE(C103:E103)</f>
        <v>2.093006717278026</v>
      </c>
      <c r="H103" s="165">
        <f>STDEV(C103:E103)</f>
        <v>1.1388909704558334</v>
      </c>
      <c r="I103" s="165">
        <f>(B103*B4+C103*C4+D103*D4+E103*E4+F103*F4)/SUM(B4:F4)</f>
        <v>1.8485666239685983</v>
      </c>
      <c r="K103" s="165">
        <f>(LN(H103)+LN(H123))/2-LN(K114*K115^3)</f>
        <v>-4.130959633273249</v>
      </c>
    </row>
    <row r="104" spans="1:11" ht="12.75">
      <c r="A104" s="165" t="s">
        <v>160</v>
      </c>
      <c r="B104" s="165">
        <f>B64*10000/B62</f>
        <v>-0.090941398227228</v>
      </c>
      <c r="C104" s="165">
        <f>C64*10000/C62</f>
        <v>0.3910718866957257</v>
      </c>
      <c r="D104" s="165">
        <f>D64*10000/D62</f>
        <v>-0.28529515662095933</v>
      </c>
      <c r="E104" s="165">
        <f>E64*10000/E62</f>
        <v>-0.48738037506948184</v>
      </c>
      <c r="F104" s="165">
        <f>F64*10000/F62</f>
        <v>0.21164117251928613</v>
      </c>
      <c r="G104" s="165">
        <f>AVERAGE(C104:E104)</f>
        <v>-0.1272012149982385</v>
      </c>
      <c r="H104" s="165">
        <f>STDEV(C104:E104)</f>
        <v>0.46007049985133625</v>
      </c>
      <c r="I104" s="165">
        <f>(B104*B4+C104*C4+D104*D4+E104*E4+F104*F4)/SUM(B4:F4)</f>
        <v>-0.07673045999722473</v>
      </c>
      <c r="K104" s="165">
        <f>(LN(H104)+LN(H124))/2-LN(K114*K115^4)</f>
        <v>-3.3519919612731566</v>
      </c>
    </row>
    <row r="105" spans="1:11" ht="12.75">
      <c r="A105" s="165" t="s">
        <v>161</v>
      </c>
      <c r="B105" s="165">
        <f>B65*10000/B62</f>
        <v>-0.5207976976335108</v>
      </c>
      <c r="C105" s="165">
        <f>C65*10000/C62</f>
        <v>-0.44061695137626483</v>
      </c>
      <c r="D105" s="165">
        <f>D65*10000/D62</f>
        <v>-1.1377188192730858</v>
      </c>
      <c r="E105" s="165">
        <f>E65*10000/E62</f>
        <v>-0.2564706473590423</v>
      </c>
      <c r="F105" s="165">
        <f>F65*10000/F62</f>
        <v>-2.1662469858667706</v>
      </c>
      <c r="G105" s="165">
        <f>AVERAGE(C105:E105)</f>
        <v>-0.611602139336131</v>
      </c>
      <c r="H105" s="165">
        <f>STDEV(C105:E105)</f>
        <v>0.46484033388004753</v>
      </c>
      <c r="I105" s="165">
        <f>(B105*B4+C105*C4+D105*D4+E105*E4+F105*F4)/SUM(B4:F4)</f>
        <v>-0.8059549302676003</v>
      </c>
      <c r="K105" s="165">
        <f>(LN(H105)+LN(H125))/2-LN(K114*K115^5)</f>
        <v>-3.746987655285584</v>
      </c>
    </row>
    <row r="106" spans="1:11" ht="12.75">
      <c r="A106" s="165" t="s">
        <v>162</v>
      </c>
      <c r="B106" s="165">
        <f>B66*10000/B62</f>
        <v>3.442745101665882</v>
      </c>
      <c r="C106" s="165">
        <f>C66*10000/C62</f>
        <v>3.1053693094584367</v>
      </c>
      <c r="D106" s="165">
        <f>D66*10000/D62</f>
        <v>2.890092508455193</v>
      </c>
      <c r="E106" s="165">
        <f>E66*10000/E62</f>
        <v>3.392136670335742</v>
      </c>
      <c r="F106" s="165">
        <f>F66*10000/F62</f>
        <v>14.268589393999022</v>
      </c>
      <c r="G106" s="165">
        <f>AVERAGE(C106:E106)</f>
        <v>3.129199496083124</v>
      </c>
      <c r="H106" s="165">
        <f>STDEV(C106:E106)</f>
        <v>0.25186900060450307</v>
      </c>
      <c r="I106" s="165">
        <f>(B106*B4+C106*C4+D106*D4+E106*E4+F106*F4)/SUM(B4:F4)</f>
        <v>4.661299604753002</v>
      </c>
      <c r="K106" s="165">
        <f>(LN(H106)+LN(H126))/2-LN(K114*K115^6)</f>
        <v>-3.4259712406011955</v>
      </c>
    </row>
    <row r="107" spans="1:11" ht="12.75">
      <c r="A107" s="165" t="s">
        <v>163</v>
      </c>
      <c r="B107" s="165">
        <f>B67*10000/B62</f>
        <v>0.08578092924516609</v>
      </c>
      <c r="C107" s="165">
        <f>C67*10000/C62</f>
        <v>0.03650516770515386</v>
      </c>
      <c r="D107" s="165">
        <f>D67*10000/D62</f>
        <v>0.0364089804249199</v>
      </c>
      <c r="E107" s="165">
        <f>E67*10000/E62</f>
        <v>-0.0583045771280022</v>
      </c>
      <c r="F107" s="165">
        <f>F67*10000/F62</f>
        <v>-0.06422948451136506</v>
      </c>
      <c r="G107" s="165">
        <f>AVERAGE(C107:E107)</f>
        <v>0.004869857000690518</v>
      </c>
      <c r="H107" s="165">
        <f>STDEV(C107:E107)</f>
        <v>0.054710685963608806</v>
      </c>
      <c r="I107" s="165">
        <f>(B107*B4+C107*C4+D107*D4+E107*E4+F107*F4)/SUM(B4:F4)</f>
        <v>0.007355317990321662</v>
      </c>
      <c r="K107" s="165">
        <f>(LN(H107)+LN(H127))/2-LN(K114*K115^7)</f>
        <v>-4.061897352717602</v>
      </c>
    </row>
    <row r="108" spans="1:9" ht="12.75">
      <c r="A108" s="165" t="s">
        <v>164</v>
      </c>
      <c r="B108" s="165">
        <f>B68*10000/B62</f>
        <v>0.062451876678638746</v>
      </c>
      <c r="C108" s="165">
        <f>C68*10000/C62</f>
        <v>0.013327327079274549</v>
      </c>
      <c r="D108" s="165">
        <f>D68*10000/D62</f>
        <v>0.04130291676654077</v>
      </c>
      <c r="E108" s="165">
        <f>E68*10000/E62</f>
        <v>-0.029178142338372764</v>
      </c>
      <c r="F108" s="165">
        <f>F68*10000/F62</f>
        <v>0.05351977113715703</v>
      </c>
      <c r="G108" s="165">
        <f>AVERAGE(C108:E108)</f>
        <v>0.008484033835814184</v>
      </c>
      <c r="H108" s="165">
        <f>STDEV(C108:E108)</f>
        <v>0.03548926654946803</v>
      </c>
      <c r="I108" s="165">
        <f>(B108*B4+C108*C4+D108*D4+E108*E4+F108*F4)/SUM(B4:F4)</f>
        <v>0.022303948814129542</v>
      </c>
    </row>
    <row r="109" spans="1:9" ht="12.75">
      <c r="A109" s="165" t="s">
        <v>165</v>
      </c>
      <c r="B109" s="165">
        <f>B69*10000/B62</f>
        <v>-0.23064558120238396</v>
      </c>
      <c r="C109" s="165">
        <f>C69*10000/C62</f>
        <v>-0.07383428985506786</v>
      </c>
      <c r="D109" s="165">
        <f>D69*10000/D62</f>
        <v>-0.06862395902771713</v>
      </c>
      <c r="E109" s="165">
        <f>E69*10000/E62</f>
        <v>-0.0074266159233410105</v>
      </c>
      <c r="F109" s="165">
        <f>F69*10000/F62</f>
        <v>-0.035664812406198884</v>
      </c>
      <c r="G109" s="165">
        <f>AVERAGE(C109:E109)</f>
        <v>-0.049961621602042004</v>
      </c>
      <c r="H109" s="165">
        <f>STDEV(C109:E109)</f>
        <v>0.036928402590661234</v>
      </c>
      <c r="I109" s="165">
        <f>(B109*B4+C109*C4+D109*D4+E109*E4+F109*F4)/SUM(B4:F4)</f>
        <v>-0.07419854646697191</v>
      </c>
    </row>
    <row r="110" spans="1:11" ht="12.75">
      <c r="A110" s="165" t="s">
        <v>166</v>
      </c>
      <c r="B110" s="165">
        <f>B70*10000/B62</f>
        <v>-0.28798913811634996</v>
      </c>
      <c r="C110" s="165">
        <f>C70*10000/C62</f>
        <v>-0.04417200056184592</v>
      </c>
      <c r="D110" s="165">
        <f>D70*10000/D62</f>
        <v>-0.05495774566846762</v>
      </c>
      <c r="E110" s="165">
        <f>E70*10000/E62</f>
        <v>0.0016944700046535998</v>
      </c>
      <c r="F110" s="165">
        <f>F70*10000/F62</f>
        <v>-0.31593773880531817</v>
      </c>
      <c r="G110" s="165">
        <f>AVERAGE(C110:E110)</f>
        <v>-0.032478425408553314</v>
      </c>
      <c r="H110" s="165">
        <f>STDEV(C110:E110)</f>
        <v>0.030081940762984972</v>
      </c>
      <c r="I110" s="165">
        <f>(B110*B4+C110*C4+D110*D4+E110*E4+F110*F4)/SUM(B4:F4)</f>
        <v>-0.10728314127137979</v>
      </c>
      <c r="K110" s="165">
        <f>EXP(AVERAGE(K103:K107))</f>
        <v>0.023669651741735482</v>
      </c>
    </row>
    <row r="111" spans="1:9" ht="12.75">
      <c r="A111" s="165" t="s">
        <v>167</v>
      </c>
      <c r="B111" s="165">
        <f>B71*10000/B62</f>
        <v>0.012425449171500708</v>
      </c>
      <c r="C111" s="165">
        <f>C71*10000/C62</f>
        <v>0.000800669062044537</v>
      </c>
      <c r="D111" s="165">
        <f>D71*10000/D62</f>
        <v>-0.020035045025911247</v>
      </c>
      <c r="E111" s="165">
        <f>E71*10000/E62</f>
        <v>-0.00853327134037106</v>
      </c>
      <c r="F111" s="165">
        <f>F71*10000/F62</f>
        <v>-0.04394267660144962</v>
      </c>
      <c r="G111" s="165">
        <f>AVERAGE(C111:E111)</f>
        <v>-0.009255882434745923</v>
      </c>
      <c r="H111" s="165">
        <f>STDEV(C111:E111)</f>
        <v>0.010436635975449417</v>
      </c>
      <c r="I111" s="165">
        <f>(B111*B4+C111*C4+D111*D4+E111*E4+F111*F4)/SUM(B4:F4)</f>
        <v>-0.010748090410100428</v>
      </c>
    </row>
    <row r="112" spans="1:9" ht="12.75">
      <c r="A112" s="165" t="s">
        <v>168</v>
      </c>
      <c r="B112" s="165">
        <f>B72*10000/B62</f>
        <v>-0.021795132489467</v>
      </c>
      <c r="C112" s="165">
        <f>C72*10000/C62</f>
        <v>0.000970181423099576</v>
      </c>
      <c r="D112" s="165">
        <f>D72*10000/D62</f>
        <v>-0.004329719860191689</v>
      </c>
      <c r="E112" s="165">
        <f>E72*10000/E62</f>
        <v>-0.0050174467328727825</v>
      </c>
      <c r="F112" s="165">
        <f>F72*10000/F62</f>
        <v>-0.014364859988561171</v>
      </c>
      <c r="G112" s="165">
        <f>AVERAGE(C112:E112)</f>
        <v>-0.0027923283899882988</v>
      </c>
      <c r="H112" s="165">
        <f>STDEV(C112:E112)</f>
        <v>0.003276522872350938</v>
      </c>
      <c r="I112" s="165">
        <f>(B112*B4+C112*C4+D112*D4+E112*E4+F112*F4)/SUM(B4:F4)</f>
        <v>-0.007086583614592396</v>
      </c>
    </row>
    <row r="113" spans="1:9" ht="12.75">
      <c r="A113" s="165" t="s">
        <v>169</v>
      </c>
      <c r="B113" s="165">
        <f>B73*10000/B62</f>
        <v>0.012845173118518294</v>
      </c>
      <c r="C113" s="165">
        <f>C73*10000/C62</f>
        <v>0.023364950396281548</v>
      </c>
      <c r="D113" s="165">
        <f>D73*10000/D62</f>
        <v>0.036490605903149835</v>
      </c>
      <c r="E113" s="165">
        <f>E73*10000/E62</f>
        <v>0.03400760817324146</v>
      </c>
      <c r="F113" s="165">
        <f>F73*10000/F62</f>
        <v>0.011503096146872907</v>
      </c>
      <c r="G113" s="165">
        <f>AVERAGE(C113:E113)</f>
        <v>0.03128772149089095</v>
      </c>
      <c r="H113" s="165">
        <f>STDEV(C113:E113)</f>
        <v>0.006972735890227459</v>
      </c>
      <c r="I113" s="165">
        <f>(B113*B4+C113*C4+D113*D4+E113*E4+F113*F4)/SUM(B4:F4)</f>
        <v>0.025978500195292218</v>
      </c>
    </row>
    <row r="114" spans="1:11" ht="12.75">
      <c r="A114" s="165" t="s">
        <v>170</v>
      </c>
      <c r="B114" s="165">
        <f>B74*10000/B62</f>
        <v>-0.1881819951902704</v>
      </c>
      <c r="C114" s="165">
        <f>C74*10000/C62</f>
        <v>-0.16691195216981095</v>
      </c>
      <c r="D114" s="165">
        <f>D74*10000/D62</f>
        <v>-0.16978636292368482</v>
      </c>
      <c r="E114" s="165">
        <f>E74*10000/E62</f>
        <v>-0.1690861518281069</v>
      </c>
      <c r="F114" s="165">
        <f>F74*10000/F62</f>
        <v>-0.1269524732237327</v>
      </c>
      <c r="G114" s="165">
        <f>AVERAGE(C114:E114)</f>
        <v>-0.1685948223072009</v>
      </c>
      <c r="H114" s="165">
        <f>STDEV(C114:E114)</f>
        <v>0.0014988705144466684</v>
      </c>
      <c r="I114" s="165">
        <f>(B114*B4+C114*C4+D114*D4+E114*E4+F114*F4)/SUM(B4:F4)</f>
        <v>-0.1658712583304344</v>
      </c>
      <c r="J114" s="165" t="s">
        <v>188</v>
      </c>
      <c r="K114" s="165">
        <v>285</v>
      </c>
    </row>
    <row r="115" spans="1:11" ht="12.75">
      <c r="A115" s="165" t="s">
        <v>171</v>
      </c>
      <c r="B115" s="165">
        <f>B75*10000/B62</f>
        <v>0.0007239692142267053</v>
      </c>
      <c r="C115" s="165">
        <f>C75*10000/C62</f>
        <v>0.0015395652874596244</v>
      </c>
      <c r="D115" s="165">
        <f>D75*10000/D62</f>
        <v>0.0008111143336825003</v>
      </c>
      <c r="E115" s="165">
        <f>E75*10000/E62</f>
        <v>-0.00130398458024328</v>
      </c>
      <c r="F115" s="165">
        <f>F75*10000/F62</f>
        <v>5.877940518832634E-05</v>
      </c>
      <c r="G115" s="165">
        <f>AVERAGE(C115:E115)</f>
        <v>0.00034889834696628154</v>
      </c>
      <c r="H115" s="165">
        <f>STDEV(C115:E115)</f>
        <v>0.0014770499911344697</v>
      </c>
      <c r="I115" s="165">
        <f>(B115*B4+C115*C4+D115*D4+E115*E4+F115*F4)/SUM(B4:F4)</f>
        <v>0.00036445027961368637</v>
      </c>
      <c r="J115" s="165" t="s">
        <v>189</v>
      </c>
      <c r="K115" s="165">
        <v>0.5536</v>
      </c>
    </row>
    <row r="118" ht="12.75">
      <c r="A118" s="165" t="s">
        <v>154</v>
      </c>
    </row>
    <row r="120" spans="2:9" ht="12.75">
      <c r="B120" s="165" t="s">
        <v>84</v>
      </c>
      <c r="C120" s="165" t="s">
        <v>85</v>
      </c>
      <c r="D120" s="165" t="s">
        <v>86</v>
      </c>
      <c r="E120" s="165" t="s">
        <v>87</v>
      </c>
      <c r="F120" s="165" t="s">
        <v>88</v>
      </c>
      <c r="G120" s="165" t="s">
        <v>156</v>
      </c>
      <c r="H120" s="165" t="s">
        <v>157</v>
      </c>
      <c r="I120" s="165" t="s">
        <v>152</v>
      </c>
    </row>
    <row r="121" spans="1:9" ht="12.75">
      <c r="A121" s="165" t="s">
        <v>172</v>
      </c>
      <c r="B121" s="165">
        <f>B81*10000/B62</f>
        <v>0</v>
      </c>
      <c r="C121" s="165">
        <f>C81*10000/C62</f>
        <v>0</v>
      </c>
      <c r="D121" s="165">
        <f>D81*10000/D62</f>
        <v>0</v>
      </c>
      <c r="E121" s="165">
        <f>E81*10000/E62</f>
        <v>0</v>
      </c>
      <c r="F121" s="165">
        <f>F81*10000/F62</f>
        <v>0</v>
      </c>
      <c r="G121" s="165">
        <f>AVERAGE(C121:E121)</f>
        <v>0</v>
      </c>
      <c r="H121" s="165">
        <f>STDEV(C121:E121)</f>
        <v>0</v>
      </c>
      <c r="I121" s="165">
        <f>(B121*B4+C121*C4+D121*D4+E121*E4+F121*F4)/SUM(B4:F4)</f>
        <v>0</v>
      </c>
    </row>
    <row r="122" spans="1:9" ht="12.75">
      <c r="A122" s="165" t="s">
        <v>173</v>
      </c>
      <c r="B122" s="165">
        <f>B82*10000/B62</f>
        <v>167.94243014116623</v>
      </c>
      <c r="C122" s="165">
        <f>C82*10000/C62</f>
        <v>70.43434504354985</v>
      </c>
      <c r="D122" s="165">
        <f>D82*10000/D62</f>
        <v>-31.554928689005177</v>
      </c>
      <c r="E122" s="165">
        <f>E82*10000/E62</f>
        <v>-67.71462845507703</v>
      </c>
      <c r="F122" s="165">
        <f>F82*10000/F62</f>
        <v>-129.15933045494984</v>
      </c>
      <c r="G122" s="165">
        <f>AVERAGE(C122:E122)</f>
        <v>-9.61173736684412</v>
      </c>
      <c r="H122" s="165">
        <f>STDEV(C122:E122)</f>
        <v>71.64085743297467</v>
      </c>
      <c r="I122" s="165">
        <f>(B122*B4+C122*C4+D122*D4+E122*E4+F122*F4)/SUM(B4:F4)</f>
        <v>0.12490303457358123</v>
      </c>
    </row>
    <row r="123" spans="1:9" ht="12.75">
      <c r="A123" s="165" t="s">
        <v>174</v>
      </c>
      <c r="B123" s="165">
        <f>B83*10000/B62</f>
        <v>-1.7763317450854867</v>
      </c>
      <c r="C123" s="165">
        <f>C83*10000/C62</f>
        <v>-0.6688386625374388</v>
      </c>
      <c r="D123" s="165">
        <f>D83*10000/D62</f>
        <v>-0.02904046741991511</v>
      </c>
      <c r="E123" s="165">
        <f>E83*10000/E62</f>
        <v>0.38297737216771116</v>
      </c>
      <c r="F123" s="165">
        <f>F83*10000/F62</f>
        <v>5.084671205729271</v>
      </c>
      <c r="G123" s="165">
        <f>AVERAGE(C123:E123)</f>
        <v>-0.10496725259654759</v>
      </c>
      <c r="H123" s="165">
        <f>STDEV(C123:E123)</f>
        <v>0.5300027360742209</v>
      </c>
      <c r="I123" s="165">
        <f>(B123*B4+C123*C4+D123*D4+E123*E4+F123*F4)/SUM(B4:F4)</f>
        <v>0.3458257620268914</v>
      </c>
    </row>
    <row r="124" spans="1:9" ht="12.75">
      <c r="A124" s="165" t="s">
        <v>175</v>
      </c>
      <c r="B124" s="165">
        <f>B84*10000/B62</f>
        <v>-0.7390082138433125</v>
      </c>
      <c r="C124" s="165">
        <f>C84*10000/C62</f>
        <v>1.6471590279160018</v>
      </c>
      <c r="D124" s="165">
        <f>D84*10000/D62</f>
        <v>-2.1115117779210095</v>
      </c>
      <c r="E124" s="165">
        <f>E84*10000/E62</f>
        <v>-0.8182012323679266</v>
      </c>
      <c r="F124" s="165">
        <f>F84*10000/F62</f>
        <v>3.945930864191662</v>
      </c>
      <c r="G124" s="165">
        <f>AVERAGE(C124:E124)</f>
        <v>-0.42751799412431146</v>
      </c>
      <c r="H124" s="165">
        <f>STDEV(C124:E124)</f>
        <v>1.9095487951728938</v>
      </c>
      <c r="I124" s="165">
        <f>(B124*B4+C124*C4+D124*D4+E124*E4+F124*F4)/SUM(B4:F4)</f>
        <v>0.11111596756229584</v>
      </c>
    </row>
    <row r="125" spans="1:9" ht="12.75">
      <c r="A125" s="165" t="s">
        <v>176</v>
      </c>
      <c r="B125" s="165">
        <f>B85*10000/B62</f>
        <v>-0.5375332924354019</v>
      </c>
      <c r="C125" s="165">
        <f>C85*10000/C62</f>
        <v>-0.305894407885994</v>
      </c>
      <c r="D125" s="165">
        <f>D85*10000/D62</f>
        <v>0.21100922356114674</v>
      </c>
      <c r="E125" s="165">
        <f>E85*10000/E62</f>
        <v>0.03576108715449466</v>
      </c>
      <c r="F125" s="165">
        <f>F85*10000/F62</f>
        <v>-1.1143126729917465</v>
      </c>
      <c r="G125" s="165">
        <f>AVERAGE(C125:E125)</f>
        <v>-0.01970803239011753</v>
      </c>
      <c r="H125" s="165">
        <f>STDEV(C125:E125)</f>
        <v>0.2628782198435261</v>
      </c>
      <c r="I125" s="165">
        <f>(B125*B4+C125*C4+D125*D4+E125*E4+F125*F4)/SUM(B4:F4)</f>
        <v>-0.2407301280409398</v>
      </c>
    </row>
    <row r="126" spans="1:9" ht="12.75">
      <c r="A126" s="165" t="s">
        <v>177</v>
      </c>
      <c r="B126" s="165">
        <f>B86*10000/B62</f>
        <v>1.221612231455715</v>
      </c>
      <c r="C126" s="165">
        <f>C86*10000/C62</f>
        <v>0.6085451509862804</v>
      </c>
      <c r="D126" s="165">
        <f>D86*10000/D62</f>
        <v>0.6519506275483349</v>
      </c>
      <c r="E126" s="165">
        <f>E86*10000/E62</f>
        <v>1.1182064520256418</v>
      </c>
      <c r="F126" s="165">
        <f>F86*10000/F62</f>
        <v>2.0199174120144057</v>
      </c>
      <c r="G126" s="165">
        <f>AVERAGE(C126:E126)</f>
        <v>0.7929007435200855</v>
      </c>
      <c r="H126" s="165">
        <f>STDEV(C126:E126)</f>
        <v>0.28255771417291253</v>
      </c>
      <c r="I126" s="165">
        <f>(B126*B4+C126*C4+D126*D4+E126*E4+F126*F4)/SUM(B4:F4)</f>
        <v>1.0187005347254912</v>
      </c>
    </row>
    <row r="127" spans="1:9" ht="12.75">
      <c r="A127" s="165" t="s">
        <v>178</v>
      </c>
      <c r="B127" s="165">
        <f>B87*10000/B62</f>
        <v>-0.3360205039598446</v>
      </c>
      <c r="C127" s="165">
        <f>C87*10000/C62</f>
        <v>-0.045461419524752134</v>
      </c>
      <c r="D127" s="165">
        <f>D87*10000/D62</f>
        <v>-0.20844243125788822</v>
      </c>
      <c r="E127" s="165">
        <f>E87*10000/E62</f>
        <v>0.0054919575427940645</v>
      </c>
      <c r="F127" s="165">
        <f>F87*10000/F62</f>
        <v>0.1087621711217673</v>
      </c>
      <c r="G127" s="165">
        <f>AVERAGE(C127:E127)</f>
        <v>-0.0828039644132821</v>
      </c>
      <c r="H127" s="165">
        <f>STDEV(C127:E127)</f>
        <v>0.11174895937745587</v>
      </c>
      <c r="I127" s="165">
        <f>(B127*B4+C127*C4+D127*D4+E127*E4+F127*F4)/SUM(B4:F4)</f>
        <v>-0.0938769620611337</v>
      </c>
    </row>
    <row r="128" spans="1:9" ht="12.75">
      <c r="A128" s="165" t="s">
        <v>179</v>
      </c>
      <c r="B128" s="165">
        <f>B88*10000/B62</f>
        <v>-0.14125403861972488</v>
      </c>
      <c r="C128" s="165">
        <f>C88*10000/C62</f>
        <v>0.2562200841221445</v>
      </c>
      <c r="D128" s="165">
        <f>D88*10000/D62</f>
        <v>-0.08495832765174577</v>
      </c>
      <c r="E128" s="165">
        <f>E88*10000/E62</f>
        <v>-0.08448333017205974</v>
      </c>
      <c r="F128" s="165">
        <f>F88*10000/F62</f>
        <v>0.28705761069480495</v>
      </c>
      <c r="G128" s="165">
        <f>AVERAGE(C128:E128)</f>
        <v>0.028926142099446325</v>
      </c>
      <c r="H128" s="165">
        <f>STDEV(C128:E128)</f>
        <v>0.19684247119413706</v>
      </c>
      <c r="I128" s="165">
        <f>(B128*B4+C128*C4+D128*D4+E128*E4+F128*F4)/SUM(B4:F4)</f>
        <v>0.03875275799908931</v>
      </c>
    </row>
    <row r="129" spans="1:9" ht="12.75">
      <c r="A129" s="165" t="s">
        <v>180</v>
      </c>
      <c r="B129" s="165">
        <f>B89*10000/B62</f>
        <v>-0.06017808813614467</v>
      </c>
      <c r="C129" s="165">
        <f>C89*10000/C62</f>
        <v>-0.052223593432121976</v>
      </c>
      <c r="D129" s="165">
        <f>D89*10000/D62</f>
        <v>-0.10771184009724194</v>
      </c>
      <c r="E129" s="165">
        <f>E89*10000/E62</f>
        <v>-0.08691279292341929</v>
      </c>
      <c r="F129" s="165">
        <f>F89*10000/F62</f>
        <v>-0.09158855635294466</v>
      </c>
      <c r="G129" s="165">
        <f>AVERAGE(C129:E129)</f>
        <v>-0.08228274215092773</v>
      </c>
      <c r="H129" s="165">
        <f>STDEV(C129:E129)</f>
        <v>0.02803238140274896</v>
      </c>
      <c r="I129" s="165">
        <f>(B129*B4+C129*C4+D129*D4+E129*E4+F129*F4)/SUM(B4:F4)</f>
        <v>-0.08032619708940578</v>
      </c>
    </row>
    <row r="130" spans="1:9" ht="12.75">
      <c r="A130" s="165" t="s">
        <v>181</v>
      </c>
      <c r="B130" s="165">
        <f>B90*10000/B62</f>
        <v>0.09128610598941218</v>
      </c>
      <c r="C130" s="165">
        <f>C90*10000/C62</f>
        <v>0.13220814814872645</v>
      </c>
      <c r="D130" s="165">
        <f>D90*10000/D62</f>
        <v>0.11520935877030175</v>
      </c>
      <c r="E130" s="165">
        <f>E90*10000/E62</f>
        <v>0.1466130944003193</v>
      </c>
      <c r="F130" s="165">
        <f>F90*10000/F62</f>
        <v>0.434864556659082</v>
      </c>
      <c r="G130" s="165">
        <f>AVERAGE(C130:E130)</f>
        <v>0.13134353377311583</v>
      </c>
      <c r="H130" s="165">
        <f>STDEV(C130:E130)</f>
        <v>0.01571971123761162</v>
      </c>
      <c r="I130" s="165">
        <f>(B130*B4+C130*C4+D130*D4+E130*E4+F130*F4)/SUM(B4:F4)</f>
        <v>0.1660569422828068</v>
      </c>
    </row>
    <row r="131" spans="1:9" ht="12.75">
      <c r="A131" s="165" t="s">
        <v>182</v>
      </c>
      <c r="B131" s="165">
        <f>B91*10000/B62</f>
        <v>-0.02251715029434451</v>
      </c>
      <c r="C131" s="165">
        <f>C91*10000/C62</f>
        <v>-0.018445002163434226</v>
      </c>
      <c r="D131" s="165">
        <f>D91*10000/D62</f>
        <v>-0.059710264522100674</v>
      </c>
      <c r="E131" s="165">
        <f>E91*10000/E62</f>
        <v>-0.024169526361836332</v>
      </c>
      <c r="F131" s="165">
        <f>F91*10000/F62</f>
        <v>-0.0008685347351712274</v>
      </c>
      <c r="G131" s="165">
        <f>AVERAGE(C131:E131)</f>
        <v>-0.03410826434912375</v>
      </c>
      <c r="H131" s="165">
        <f>STDEV(C131:E131)</f>
        <v>0.02235596909032028</v>
      </c>
      <c r="I131" s="165">
        <f>(B131*B4+C131*C4+D131*D4+E131*E4+F131*F4)/SUM(B4:F4)</f>
        <v>-0.02799465011359189</v>
      </c>
    </row>
    <row r="132" spans="1:9" ht="12.75">
      <c r="A132" s="165" t="s">
        <v>183</v>
      </c>
      <c r="B132" s="165">
        <f>B92*10000/B62</f>
        <v>0.008649090529362004</v>
      </c>
      <c r="C132" s="165">
        <f>C92*10000/C62</f>
        <v>0.02957152156898934</v>
      </c>
      <c r="D132" s="165">
        <f>D92*10000/D62</f>
        <v>0.002010386425846758</v>
      </c>
      <c r="E132" s="165">
        <f>E92*10000/E62</f>
        <v>0.00032260163244047607</v>
      </c>
      <c r="F132" s="165">
        <f>F92*10000/F62</f>
        <v>0.003185086017577613</v>
      </c>
      <c r="G132" s="165">
        <f>AVERAGE(C132:E132)</f>
        <v>0.010634836542425525</v>
      </c>
      <c r="H132" s="165">
        <f>STDEV(C132:E132)</f>
        <v>0.0164213484289104</v>
      </c>
      <c r="I132" s="165">
        <f>(B132*B4+C132*C4+D132*D4+E132*E4+F132*F4)/SUM(B4:F4)</f>
        <v>0.009353209601769174</v>
      </c>
    </row>
    <row r="133" spans="1:9" ht="12.75">
      <c r="A133" s="165" t="s">
        <v>184</v>
      </c>
      <c r="B133" s="165">
        <f>B93*10000/B62</f>
        <v>0.04796982081667093</v>
      </c>
      <c r="C133" s="165">
        <f>C93*10000/C62</f>
        <v>0.03399754605305179</v>
      </c>
      <c r="D133" s="165">
        <f>D93*10000/D62</f>
        <v>0.01856060068478203</v>
      </c>
      <c r="E133" s="165">
        <f>E93*10000/E62</f>
        <v>0.029462629879245153</v>
      </c>
      <c r="F133" s="165">
        <f>F93*10000/F62</f>
        <v>0.014840584592113541</v>
      </c>
      <c r="G133" s="165">
        <f>AVERAGE(C133:E133)</f>
        <v>0.02734025887235966</v>
      </c>
      <c r="H133" s="165">
        <f>STDEV(C133:E133)</f>
        <v>0.007934303031387665</v>
      </c>
      <c r="I133" s="165">
        <f>(B133*B4+C133*C4+D133*D4+E133*E4+F133*F4)/SUM(B4:F4)</f>
        <v>0.028657085590844983</v>
      </c>
    </row>
    <row r="134" spans="1:9" ht="12.75">
      <c r="A134" s="165" t="s">
        <v>185</v>
      </c>
      <c r="B134" s="165">
        <f>B94*10000/B62</f>
        <v>-0.008847032388963009</v>
      </c>
      <c r="C134" s="165">
        <f>C94*10000/C62</f>
        <v>0.01746582351391135</v>
      </c>
      <c r="D134" s="165">
        <f>D94*10000/D62</f>
        <v>0.026724757601470053</v>
      </c>
      <c r="E134" s="165">
        <f>E94*10000/E62</f>
        <v>0.03825378364147353</v>
      </c>
      <c r="F134" s="165">
        <f>F94*10000/F62</f>
        <v>0.013490547889363824</v>
      </c>
      <c r="G134" s="165">
        <f>AVERAGE(C134:E134)</f>
        <v>0.027481454918951643</v>
      </c>
      <c r="H134" s="165">
        <f>STDEV(C134:E134)</f>
        <v>0.01041461783691516</v>
      </c>
      <c r="I134" s="165">
        <f>(B134*B4+C134*C4+D134*D4+E134*E4+F134*F4)/SUM(B4:F4)</f>
        <v>0.0203573934111804</v>
      </c>
    </row>
    <row r="135" spans="1:9" ht="12.75">
      <c r="A135" s="165" t="s">
        <v>186</v>
      </c>
      <c r="B135" s="165">
        <f>B95*10000/B62</f>
        <v>-0.0006276194853443522</v>
      </c>
      <c r="C135" s="165">
        <f>C95*10000/C62</f>
        <v>-0.0029411685491596965</v>
      </c>
      <c r="D135" s="165">
        <f>D95*10000/D62</f>
        <v>-0.002901079558457418</v>
      </c>
      <c r="E135" s="165">
        <f>E95*10000/E62</f>
        <v>-0.00041459158448376197</v>
      </c>
      <c r="F135" s="165">
        <f>F95*10000/F62</f>
        <v>0.0031265041473918865</v>
      </c>
      <c r="G135" s="165">
        <f>AVERAGE(C135:E135)</f>
        <v>-0.0020856132307002923</v>
      </c>
      <c r="H135" s="165">
        <f>STDEV(C135:E135)</f>
        <v>0.0014472860078046197</v>
      </c>
      <c r="I135" s="165">
        <f>(B135*B4+C135*C4+D135*D4+E135*E4+F135*F4)/SUM(B4:F4)</f>
        <v>-0.0011790002801266304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2003-11-27T05:36:36Z</cp:lastPrinted>
  <dcterms:created xsi:type="dcterms:W3CDTF">1999-06-17T15:15:05Z</dcterms:created>
  <dcterms:modified xsi:type="dcterms:W3CDTF">2005-10-05T09:55:10Z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1341504851</vt:i4>
  </property>
  <property fmtid="{D5CDD505-2E9C-101B-9397-08002B2CF9AE}" pid="3" name="_EmailSubject">
    <vt:lpwstr>WFM result of apertures 23,29,35,132,133,135,136, 128, 120, 142 : agreement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  <property fmtid="{D5CDD505-2E9C-101B-9397-08002B2CF9AE}" pid="6" name="_PreviousAdHocReviewCycleID">
    <vt:i4>1421584721</vt:i4>
  </property>
  <property fmtid="{D5CDD505-2E9C-101B-9397-08002B2CF9AE}" pid="7" name="_ReviewingToolsShownOnce">
    <vt:lpwstr/>
  </property>
</Properties>
</file>