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37_pos1ap2" sheetId="2" r:id="rId2"/>
    <sheet name="HCMQAP137_pos2ap2" sheetId="3" r:id="rId3"/>
    <sheet name="HCMQAP137_pos3ap2" sheetId="4" r:id="rId4"/>
    <sheet name="HCMQAP137_pos4ap2" sheetId="5" r:id="rId5"/>
    <sheet name="HCMQAP137_pos5ap2" sheetId="6" r:id="rId6"/>
    <sheet name="Lmag_hcmqap" sheetId="7" r:id="rId7"/>
    <sheet name="Result_HCMQAP" sheetId="8" r:id="rId8"/>
  </sheets>
  <definedNames>
    <definedName name="_xlnm.Print_Area" localSheetId="1">'HCMQAP137_pos1ap2'!$A$1:$N$28</definedName>
    <definedName name="_xlnm.Print_Area" localSheetId="2">'HCMQAP137_pos2ap2'!$A$1:$N$28</definedName>
    <definedName name="_xlnm.Print_Area" localSheetId="3">'HCMQAP137_pos3ap2'!$A$1:$N$28</definedName>
    <definedName name="_xlnm.Print_Area" localSheetId="4">'HCMQAP137_pos4ap2'!$A$1:$N$28</definedName>
    <definedName name="_xlnm.Print_Area" localSheetId="5">'HCMQAP137_pos5ap2'!$A$1:$N$28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<sst xmlns="http://schemas.openxmlformats.org/spreadsheetml/2006/main" count="510" uniqueCount="187">
  <si>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</si>
  <si>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</si>
  <si>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</si>
  <si>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</si>
  <si>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</si>
  <si>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</si>
  <si>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</si>
  <si>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</si>
  <si>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</si>
  <si>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</si>
  <si>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</si>
  <si>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</si>
  <si>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</si>
  <si>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</si>
  <si>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</si>
  <si>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hcmqap137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</si>
  <si>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</si>
  <si>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</si>
  <si>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</si>
  <si>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</si>
  <si>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</si>
  <si>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</si>
  <si>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</si>
  <si>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</si>
  <si>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</si>
  <si>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</si>
  <si>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</si>
  <si>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</si>
  <si>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</si>
  <si>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</si>
  <si>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</si>
  <si>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</si>
  <si>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</si>
  <si>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</si>
  <si>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</si>
  <si>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</si>
  <si>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</si>
  <si>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</si>
  <si>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</si>
  <si>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</si>
  <si>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</si>
  <si>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</si>
  <si>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</si>
  <si>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</si>
  <si>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</si>
  <si>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</si>
  <si>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</si>
  <si>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</si>
  <si>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</si>
  <si>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</si>
  <si>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</si>
  <si>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</si>
  <si>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</si>
  <si>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</si>
  <si>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</si>
  <si>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</si>
  <si>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</si>
  <si>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</si>
  <si>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</si>
  <si>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</si>
  <si>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</si>
  <si>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</si>
  <si>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</si>
  <si>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</si>
  <si>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</si>
  <si>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</si>
  <si>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</si>
  <si>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</si>
  <si>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HCMQAP137_pos1ap2</t>
  </si>
  <si>
    <t>27/11/2003</t>
  </si>
  <si>
    <t>±12.5</t>
  </si>
  <si>
    <t>THCMQAP137_pos1ap2.xls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</si>
  <si>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-3.755 mT)</t>
    </r>
  </si>
  <si>
    <t>HCMQAP137_pos2ap2</t>
  </si>
  <si>
    <t>THCMQAP137_pos2ap2.xls</t>
  </si>
  <si>
    <t>HCMQAP137_pos3ap2</t>
  </si>
  <si>
    <t>THCMQAP137_pos3ap2.xls</t>
  </si>
  <si>
    <t>HCMQAP137_pos4ap2</t>
  </si>
  <si>
    <t>THCMQAP137_pos4ap2.xls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</si>
  <si>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-2.084 mT)</t>
    </r>
  </si>
  <si>
    <t>HCMQAP137_pos5ap2</t>
  </si>
  <si>
    <t>THCMQAP137_pos5ap2.xls</t>
  </si>
  <si>
    <t>Sommaire : Valeurs intégrales calculées avec les fichiers: HCMQAP137_pos1ap2+HCMQAP137_pos2ap2+HCMQAP137_pos3ap2+HCMQAP137_pos4ap2+HCMQAP137_pos5ap2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</si>
  <si>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</si>
  <si>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</si>
  <si>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</si>
  <si>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</si>
  <si>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</si>
  <si>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</si>
  <si>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</si>
  <si>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</si>
  <si>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</si>
  <si>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</si>
  <si>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</si>
  <si>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</si>
  <si>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</si>
  <si>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</si>
  <si>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</si>
  <si>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</si>
  <si>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</si>
  <si>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</si>
  <si>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</si>
  <si>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</si>
  <si>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</si>
  <si>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</si>
  <si>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</si>
  <si>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</si>
  <si>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</si>
  <si>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</si>
  <si>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</si>
  <si>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</si>
  <si>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</si>
  <si>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</si>
  <si>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</si>
  <si>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</si>
  <si>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</si>
  <si>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</si>
  <si>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</si>
  <si>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</si>
  <si>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</si>
  <si>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</si>
  <si>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</si>
  <si>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</si>
  <si>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</si>
  <si>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</si>
  <si>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</si>
  <si>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=-3.755</t>
    </r>
  </si>
  <si>
    <t>Gradient (T/m)</t>
  </si>
  <si>
    <t xml:space="preserve"> Thu 27/11/2003       08:04:08</t>
  </si>
  <si>
    <t>SIEGMUND</t>
  </si>
  <si>
    <t>HCMQAP137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</si>
  <si>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</si>
  <si>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</si>
  <si>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</si>
  <si>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</si>
  <si>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</si>
  <si>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</si>
  <si>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</si>
  <si>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</si>
  <si>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</si>
  <si>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</si>
  <si>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</si>
  <si>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</si>
  <si>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</si>
  <si>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</si>
  <si>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</si>
  <si>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ACCEPTED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</si>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</sst>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3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0" fillId="0" borderId="66" xfId="0" applyNumberFormat="1" applyFont="1" applyBorder="1" applyAlignment="1">
      <alignment horizontal="center"/>
    </xf>
    <xf numFmtId="179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3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2709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2709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2709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77</v>
      </c>
      <c r="H5" s="25">
        <v>2709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80</v>
      </c>
      <c r="H6" s="25">
        <v>2709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2.80809513E-05</v>
      </c>
      <c r="L2" s="55">
        <v>1.2972301829030476E-07</v>
      </c>
      <c r="M2" s="55">
        <v>9.6819562E-05</v>
      </c>
      <c r="N2" s="56">
        <v>1.847943403500915E-07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-3.1304708699999995E-05</v>
      </c>
      <c r="L3" s="55">
        <v>1.24421758243936E-07</v>
      </c>
      <c r="M3" s="55">
        <v>1.3348918E-05</v>
      </c>
      <c r="N3" s="56">
        <v>1.3344151732499252E-07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-0.0022576888937278243</v>
      </c>
      <c r="L4" s="55">
        <v>4.0743297979941346E-05</v>
      </c>
      <c r="M4" s="55">
        <v>3.3277632824018245E-08</v>
      </c>
      <c r="N4" s="56">
        <v>-9.0222519</v>
      </c>
    </row>
    <row r="5" spans="1:14" ht="15" customHeight="1" thickBot="1">
      <c r="A5" t="s">
        <v>18</v>
      </c>
      <c r="B5" s="59">
        <v>37952.31480324074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2709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3.5051726000000003</v>
      </c>
      <c r="E8" s="78">
        <v>0.016674752802865945</v>
      </c>
      <c r="F8" s="78">
        <v>-2.2953751</v>
      </c>
      <c r="G8" s="78">
        <v>0.018437709210788165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0.67085167</v>
      </c>
      <c r="E9" s="80">
        <v>0.01492971261453731</v>
      </c>
      <c r="F9" s="80">
        <v>-2.4476362</v>
      </c>
      <c r="G9" s="80">
        <v>0.02603141893867507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-0.025794000000000004</v>
      </c>
      <c r="E10" s="80">
        <v>0.01376442675824168</v>
      </c>
      <c r="F10" s="80">
        <v>0.0377268573</v>
      </c>
      <c r="G10" s="80">
        <v>0.005510729497043115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4.5202602999999995</v>
      </c>
      <c r="E11" s="78">
        <v>0.010257294758441152</v>
      </c>
      <c r="F11" s="78">
        <v>1.4796426000000003</v>
      </c>
      <c r="G11" s="78">
        <v>0.007315706783316552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0.117323349</v>
      </c>
      <c r="E12" s="80">
        <v>0.007626063963743521</v>
      </c>
      <c r="F12" s="80">
        <v>-0.04114119000000001</v>
      </c>
      <c r="G12" s="80">
        <v>0.007399586781260117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20.587159</v>
      </c>
      <c r="D13" s="83">
        <v>0.027054132200000004</v>
      </c>
      <c r="E13" s="80">
        <v>0.0031792088094790547</v>
      </c>
      <c r="F13" s="80">
        <v>-0.19386631999999998</v>
      </c>
      <c r="G13" s="80">
        <v>0.0036753217598746563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-0.010220299999999998</v>
      </c>
      <c r="E14" s="80">
        <v>0.004556677788367304</v>
      </c>
      <c r="F14" s="80">
        <v>-0.0216843205</v>
      </c>
      <c r="G14" s="80">
        <v>0.0063546267342593325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-0.36025976000000004</v>
      </c>
      <c r="E15" s="78">
        <v>0.004147784323517018</v>
      </c>
      <c r="F15" s="78">
        <v>0.14162523</v>
      </c>
      <c r="G15" s="78">
        <v>0.003765894101352847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-0.0110569353</v>
      </c>
      <c r="E16" s="80">
        <v>0.0023172837923544007</v>
      </c>
      <c r="F16" s="80">
        <v>0.01754728991</v>
      </c>
      <c r="G16" s="80">
        <v>0.0037389760691163517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0.15600000321865082</v>
      </c>
      <c r="D17" s="83">
        <v>-0.007733359799999999</v>
      </c>
      <c r="E17" s="80">
        <v>0.0016616472551771193</v>
      </c>
      <c r="F17" s="80">
        <v>0.010134952999999999</v>
      </c>
      <c r="G17" s="80">
        <v>0.0031643851321569607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0.027980272</v>
      </c>
      <c r="E18" s="80">
        <v>0.0019666012223163035</v>
      </c>
      <c r="F18" s="80">
        <v>0.07721852300000001</v>
      </c>
      <c r="G18" s="80">
        <v>0.0011038136226902296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0.08900000154972076</v>
      </c>
      <c r="D19" s="86">
        <v>-0.17250888</v>
      </c>
      <c r="E19" s="80">
        <v>0.0011713179827017874</v>
      </c>
      <c r="F19" s="80">
        <v>0.022104096</v>
      </c>
      <c r="G19" s="80">
        <v>0.0018748345440955621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0.2245027</v>
      </c>
      <c r="D20" s="88">
        <v>-0.0017314992099999999</v>
      </c>
      <c r="E20" s="89">
        <v>0.0010176367870207799</v>
      </c>
      <c r="F20" s="89">
        <v>-0.0031798264</v>
      </c>
      <c r="G20" s="89">
        <v>0.001081894313314263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0.7249587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-0.5169373922122238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-2.2580565</v>
      </c>
      <c r="I25" s="101" t="s">
        <v>49</v>
      </c>
      <c r="J25" s="102"/>
      <c r="K25" s="101"/>
      <c r="L25" s="104">
        <v>4.756269063403672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4.189866561776254</v>
      </c>
      <c r="I26" s="106" t="s">
        <v>53</v>
      </c>
      <c r="J26" s="107"/>
      <c r="K26" s="106"/>
      <c r="L26" s="109">
        <v>0.38709792100683066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HCMQAP137_pos1ap2res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7.1418427E-05</v>
      </c>
      <c r="L2" s="55">
        <v>1.519201613864655E-07</v>
      </c>
      <c r="M2" s="55">
        <v>3.8747967E-05</v>
      </c>
      <c r="N2" s="56">
        <v>9.590596720720465E-08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-2.8951833E-05</v>
      </c>
      <c r="L3" s="55">
        <v>9.309196783820642E-08</v>
      </c>
      <c r="M3" s="55">
        <v>1.2192615E-05</v>
      </c>
      <c r="N3" s="56">
        <v>1.6950461099918492E-07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-0.003754451952107392</v>
      </c>
      <c r="L4" s="55">
        <v>3.514043918265267E-05</v>
      </c>
      <c r="M4" s="55">
        <v>3.1106975644222916E-08</v>
      </c>
      <c r="N4" s="56">
        <v>-4.6796994</v>
      </c>
    </row>
    <row r="5" spans="1:14" ht="15" customHeight="1" thickBot="1">
      <c r="A5" t="s">
        <v>18</v>
      </c>
      <c r="B5" s="59">
        <v>37952.31927083333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2709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-1.06135894</v>
      </c>
      <c r="E8" s="78">
        <v>0.006078570512801145</v>
      </c>
      <c r="F8" s="78">
        <v>2.3556416</v>
      </c>
      <c r="G8" s="78">
        <v>0.011255448113732332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0.4036987119999999</v>
      </c>
      <c r="E9" s="80">
        <v>0.010914513060999843</v>
      </c>
      <c r="F9" s="80">
        <v>-2.2402699999999998</v>
      </c>
      <c r="G9" s="80">
        <v>0.013572156571455269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0.20993329000000002</v>
      </c>
      <c r="E10" s="80">
        <v>0.004457903302831026</v>
      </c>
      <c r="F10" s="80">
        <v>1.01195148</v>
      </c>
      <c r="G10" s="80">
        <v>0.00274060418935782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4.626286</v>
      </c>
      <c r="E11" s="78">
        <v>0.0045435730211568414</v>
      </c>
      <c r="F11" s="78">
        <v>0.26210474699999997</v>
      </c>
      <c r="G11" s="78">
        <v>0.006416304574166111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-0.12945557300000002</v>
      </c>
      <c r="E12" s="80">
        <v>0.0068657056282450685</v>
      </c>
      <c r="F12" s="80">
        <v>-0.33925977</v>
      </c>
      <c r="G12" s="80">
        <v>0.004061211224944053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20.620728</v>
      </c>
      <c r="D13" s="83">
        <v>0.18740329</v>
      </c>
      <c r="E13" s="80">
        <v>0.002145112852136421</v>
      </c>
      <c r="F13" s="80">
        <v>-0.25527905</v>
      </c>
      <c r="G13" s="80">
        <v>0.003007794310955501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-0.035516143</v>
      </c>
      <c r="E14" s="80">
        <v>0.0024748831718842926</v>
      </c>
      <c r="F14" s="80">
        <v>0.09872810600000001</v>
      </c>
      <c r="G14" s="80">
        <v>0.0013636417894739412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-0.10348823599999998</v>
      </c>
      <c r="E15" s="78">
        <v>0.002360266483070645</v>
      </c>
      <c r="F15" s="78">
        <v>0.06247272499999999</v>
      </c>
      <c r="G15" s="78">
        <v>0.0031597777134049383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0.018027193200000003</v>
      </c>
      <c r="E16" s="80">
        <v>0.000987839155260199</v>
      </c>
      <c r="F16" s="80">
        <v>-0.0224135686</v>
      </c>
      <c r="G16" s="80">
        <v>0.0020320998004052754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-0.2240000069141388</v>
      </c>
      <c r="D17" s="83">
        <v>-0.0011741312</v>
      </c>
      <c r="E17" s="80">
        <v>0.0009508446218762874</v>
      </c>
      <c r="F17" s="80">
        <v>-0.0156360629</v>
      </c>
      <c r="G17" s="80">
        <v>0.0008767936373084872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23.905000686645508</v>
      </c>
      <c r="D18" s="83">
        <v>0.034914802</v>
      </c>
      <c r="E18" s="80">
        <v>0.0013477096589569794</v>
      </c>
      <c r="F18" s="80">
        <v>0.005959360800000001</v>
      </c>
      <c r="G18" s="80">
        <v>0.0010130335629866133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-0.2639999985694885</v>
      </c>
      <c r="D19" s="86">
        <v>-0.16291357</v>
      </c>
      <c r="E19" s="80">
        <v>0.0006242234260314034</v>
      </c>
      <c r="F19" s="80">
        <v>0.021702889</v>
      </c>
      <c r="G19" s="80">
        <v>0.0007732573158619481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0.3249891</v>
      </c>
      <c r="D20" s="88">
        <v>0.0001629906999999999</v>
      </c>
      <c r="E20" s="89">
        <v>0.0008564736833335045</v>
      </c>
      <c r="F20" s="89">
        <v>0.00528124661</v>
      </c>
      <c r="G20" s="89">
        <v>0.0008146971964273742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0.1723964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-0.26812725148730415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-3.7546163999999993</v>
      </c>
      <c r="I25" s="101" t="s">
        <v>49</v>
      </c>
      <c r="J25" s="102"/>
      <c r="K25" s="101"/>
      <c r="L25" s="104">
        <v>4.633704894811055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2.5837047329694007</v>
      </c>
      <c r="I26" s="106" t="s">
        <v>53</v>
      </c>
      <c r="J26" s="107"/>
      <c r="K26" s="106"/>
      <c r="L26" s="109">
        <v>0.1208828207782947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HCMQAP137_pos2ap2res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0.00011773263600000001</v>
      </c>
      <c r="L2" s="55">
        <v>1.3582629208544028E-07</v>
      </c>
      <c r="M2" s="55">
        <v>3.6612279E-05</v>
      </c>
      <c r="N2" s="56">
        <v>2.0626007077043272E-07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-2.7873004E-05</v>
      </c>
      <c r="L3" s="55">
        <v>1.1997019423200447E-07</v>
      </c>
      <c r="M3" s="55">
        <v>1.0623377E-05</v>
      </c>
      <c r="N3" s="56">
        <v>1.4079830896006488E-07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-0.0037545754570680896</v>
      </c>
      <c r="L4" s="55">
        <v>-4.7801510639969515E-06</v>
      </c>
      <c r="M4" s="55">
        <v>4.542685172632509E-08</v>
      </c>
      <c r="N4" s="56">
        <v>0.63657643</v>
      </c>
    </row>
    <row r="5" spans="1:14" ht="15" customHeight="1" thickBot="1">
      <c r="A5" t="s">
        <v>18</v>
      </c>
      <c r="B5" s="59">
        <v>37952.32372685185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2709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1.0096916599999999</v>
      </c>
      <c r="E8" s="78">
        <v>0.010793648700116797</v>
      </c>
      <c r="F8" s="78">
        <v>4.0294355</v>
      </c>
      <c r="G8" s="78">
        <v>0.007886234082469667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0.60224539</v>
      </c>
      <c r="E9" s="80">
        <v>0.004249910419931693</v>
      </c>
      <c r="F9" s="80">
        <v>0.16994386109999998</v>
      </c>
      <c r="G9" s="80">
        <v>0.013267476811429674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-0.24558646999999997</v>
      </c>
      <c r="E10" s="80">
        <v>0.0053897416215074505</v>
      </c>
      <c r="F10" s="80">
        <v>1.2648001999999998</v>
      </c>
      <c r="G10" s="80">
        <v>0.003261957611642919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4.513506</v>
      </c>
      <c r="E11" s="78">
        <v>0.0018753025635294882</v>
      </c>
      <c r="F11" s="78">
        <v>0.47787708</v>
      </c>
      <c r="G11" s="78">
        <v>0.004382980099951297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-0.14647975</v>
      </c>
      <c r="E12" s="80">
        <v>0.0035820494195362472</v>
      </c>
      <c r="F12" s="80">
        <v>-0.21154461315999998</v>
      </c>
      <c r="G12" s="80">
        <v>0.003145167591807772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20.672608</v>
      </c>
      <c r="D13" s="83">
        <v>0.15135391499999998</v>
      </c>
      <c r="E13" s="80">
        <v>0.004043530083105442</v>
      </c>
      <c r="F13" s="80">
        <v>0.041441566</v>
      </c>
      <c r="G13" s="80">
        <v>0.003486104321324062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-0.033174596</v>
      </c>
      <c r="E14" s="80">
        <v>0.0020559860826751862</v>
      </c>
      <c r="F14" s="80">
        <v>0.058702115</v>
      </c>
      <c r="G14" s="80">
        <v>0.0017940765519898298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-0.084699174</v>
      </c>
      <c r="E15" s="78">
        <v>0.0007036449543731206</v>
      </c>
      <c r="F15" s="78">
        <v>0.068308255</v>
      </c>
      <c r="G15" s="78">
        <v>0.0018630308680024196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0.002378013</v>
      </c>
      <c r="E16" s="80">
        <v>0.0005868476031526406</v>
      </c>
      <c r="F16" s="80">
        <v>-0.034529743620000004</v>
      </c>
      <c r="G16" s="80">
        <v>0.0016637637640803508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0.27300000190734863</v>
      </c>
      <c r="D17" s="83">
        <v>0.0048377146</v>
      </c>
      <c r="E17" s="80">
        <v>0.00092995335357438</v>
      </c>
      <c r="F17" s="80">
        <v>-0.002224425</v>
      </c>
      <c r="G17" s="80">
        <v>0.001566946767337679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2.0350000858306885</v>
      </c>
      <c r="D18" s="83">
        <v>0.041501391</v>
      </c>
      <c r="E18" s="80">
        <v>0.0008640511055742829</v>
      </c>
      <c r="F18" s="80">
        <v>-0.0044613132</v>
      </c>
      <c r="G18" s="80">
        <v>0.0007868558446460554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0.23899999260902405</v>
      </c>
      <c r="D19" s="86">
        <v>-0.16233058</v>
      </c>
      <c r="E19" s="80">
        <v>0.0007095569093456675</v>
      </c>
      <c r="F19" s="80">
        <v>0.014028601899999998</v>
      </c>
      <c r="G19" s="80">
        <v>0.0012835364060097623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0.5328493</v>
      </c>
      <c r="D20" s="88">
        <v>0.004335843000000001</v>
      </c>
      <c r="E20" s="89">
        <v>0.00029957469710925166</v>
      </c>
      <c r="F20" s="89">
        <v>0.0038666178430000002</v>
      </c>
      <c r="G20" s="89">
        <v>0.0002646270721349239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0.1664514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0.036473173584076854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-3.7545785</v>
      </c>
      <c r="I25" s="101" t="s">
        <v>49</v>
      </c>
      <c r="J25" s="102"/>
      <c r="K25" s="101"/>
      <c r="L25" s="104">
        <v>4.538733624660663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4.15401344448159</v>
      </c>
      <c r="I26" s="106" t="s">
        <v>53</v>
      </c>
      <c r="J26" s="107"/>
      <c r="K26" s="106"/>
      <c r="L26" s="109">
        <v>0.1088116160041165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HCMQAP137_pos3ap2res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8.031605800000001E-05</v>
      </c>
      <c r="L2" s="55">
        <v>1.1649486548837629E-07</v>
      </c>
      <c r="M2" s="55">
        <v>0.00012588748</v>
      </c>
      <c r="N2" s="56">
        <v>1.629879676650544E-07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-2.8720842E-05</v>
      </c>
      <c r="L3" s="55">
        <v>9.70255764536241E-08</v>
      </c>
      <c r="M3" s="55">
        <v>1.0159600000000002E-05</v>
      </c>
      <c r="N3" s="56">
        <v>2.4237852215077797E-07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-0.0037548979608621985</v>
      </c>
      <c r="L4" s="55">
        <v>-2.874688812552553E-05</v>
      </c>
      <c r="M4" s="55">
        <v>7.455603680004032E-08</v>
      </c>
      <c r="N4" s="56">
        <v>3.8278439</v>
      </c>
    </row>
    <row r="5" spans="1:14" ht="15" customHeight="1" thickBot="1">
      <c r="A5" t="s">
        <v>18</v>
      </c>
      <c r="B5" s="59">
        <v>37952.32818287037</v>
      </c>
      <c r="D5" s="60"/>
      <c r="E5" s="61" t="s">
        <v>72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2709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1.9175563</v>
      </c>
      <c r="E8" s="78">
        <v>0.010908767756244398</v>
      </c>
      <c r="F8" s="78">
        <v>1.2472627299999999</v>
      </c>
      <c r="G8" s="78">
        <v>0.011296015208502737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-0.35201272</v>
      </c>
      <c r="E9" s="80">
        <v>0.011399263869584933</v>
      </c>
      <c r="F9" s="80">
        <v>-0.79410704</v>
      </c>
      <c r="G9" s="80">
        <v>0.014443071546882319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-0.20273645</v>
      </c>
      <c r="E10" s="80">
        <v>0.0032759725932913868</v>
      </c>
      <c r="F10" s="80">
        <v>0.73467828</v>
      </c>
      <c r="G10" s="80">
        <v>0.008155436788594338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4.8025011</v>
      </c>
      <c r="E11" s="78">
        <v>0.003843575085513336</v>
      </c>
      <c r="F11" s="78">
        <v>0.20315657800000003</v>
      </c>
      <c r="G11" s="78">
        <v>0.0038800413627096066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0.17691259</v>
      </c>
      <c r="E12" s="80">
        <v>0.0027471380473852824</v>
      </c>
      <c r="F12" s="80">
        <v>-0.22294527300000003</v>
      </c>
      <c r="G12" s="80">
        <v>0.0030353461367438337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20.730591</v>
      </c>
      <c r="D13" s="83">
        <v>0.007877105</v>
      </c>
      <c r="E13" s="80">
        <v>0.0025419899407157355</v>
      </c>
      <c r="F13" s="80">
        <v>0.14049013400000002</v>
      </c>
      <c r="G13" s="80">
        <v>0.004912841418414958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0.01132386</v>
      </c>
      <c r="E14" s="80">
        <v>0.0027910967649653435</v>
      </c>
      <c r="F14" s="80">
        <v>0.099817652</v>
      </c>
      <c r="G14" s="80">
        <v>0.00441611088517533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-0.06550685426</v>
      </c>
      <c r="E15" s="78">
        <v>0.0016934881981607725</v>
      </c>
      <c r="F15" s="78">
        <v>0.071599711</v>
      </c>
      <c r="G15" s="78">
        <v>0.0011487184626155181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</v>
      </c>
      <c r="D16" s="83">
        <v>0.0221324519</v>
      </c>
      <c r="E16" s="80">
        <v>0.0010961798640860053</v>
      </c>
      <c r="F16" s="80">
        <v>-0.004836847</v>
      </c>
      <c r="G16" s="80">
        <v>0.0012613197989035144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-0.1979999989271164</v>
      </c>
      <c r="D17" s="83">
        <v>-0.0045736817</v>
      </c>
      <c r="E17" s="80">
        <v>0.0010079590416534117</v>
      </c>
      <c r="F17" s="80">
        <v>0.0322067027</v>
      </c>
      <c r="G17" s="80">
        <v>0.002311354973144126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31.53499984741211</v>
      </c>
      <c r="D18" s="83">
        <v>0.030039753999999995</v>
      </c>
      <c r="E18" s="80">
        <v>0.0002419623189551629</v>
      </c>
      <c r="F18" s="80">
        <v>0.050968033999999995</v>
      </c>
      <c r="G18" s="80">
        <v>0.0017922739774305346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-0.2800000011920929</v>
      </c>
      <c r="D19" s="86">
        <v>-0.16249539</v>
      </c>
      <c r="E19" s="80">
        <v>0.001090237185386777</v>
      </c>
      <c r="F19" s="80">
        <v>0.015712228</v>
      </c>
      <c r="G19" s="80">
        <v>0.0010323327577123665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0.359223</v>
      </c>
      <c r="D20" s="88">
        <v>-0.0002538142999999999</v>
      </c>
      <c r="E20" s="89">
        <v>0.0007185935805854096</v>
      </c>
      <c r="F20" s="89">
        <v>0.0034774880699999997</v>
      </c>
      <c r="G20" s="89">
        <v>0.00047314562187392276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0.5726888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0.21931948535614132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-3.7550079999999997</v>
      </c>
      <c r="I25" s="101" t="s">
        <v>49</v>
      </c>
      <c r="J25" s="102"/>
      <c r="K25" s="101"/>
      <c r="L25" s="104">
        <v>4.806796169038779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2.2875066079285413</v>
      </c>
      <c r="I26" s="106" t="s">
        <v>53</v>
      </c>
      <c r="J26" s="107"/>
      <c r="K26" s="106"/>
      <c r="L26" s="109">
        <v>0.09704466276062997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HCMQAP137_pos4ap2res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4.1161275E-05</v>
      </c>
      <c r="L2" s="55">
        <v>1.407504307285376E-07</v>
      </c>
      <c r="M2" s="55">
        <v>9.4014351E-05</v>
      </c>
      <c r="N2" s="56">
        <v>1.3467736822686033E-07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-3.0709911E-05</v>
      </c>
      <c r="L3" s="55">
        <v>1.4154361466948292E-07</v>
      </c>
      <c r="M3" s="55">
        <v>9.708688999999999E-06</v>
      </c>
      <c r="N3" s="56">
        <v>1.1697475024125922E-07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-0.0020838523561848635</v>
      </c>
      <c r="L4" s="55">
        <v>-3.6694081102433666E-05</v>
      </c>
      <c r="M4" s="55">
        <v>7.709307051904861E-08</v>
      </c>
      <c r="N4" s="56">
        <v>8.8034762</v>
      </c>
    </row>
    <row r="5" spans="1:14" ht="15" customHeight="1" thickBot="1">
      <c r="A5" t="s">
        <v>18</v>
      </c>
      <c r="B5" s="59">
        <v>37952.332662037035</v>
      </c>
      <c r="D5" s="60"/>
      <c r="E5" s="61" t="s">
        <v>79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2709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5" t="s">
        <v>24</v>
      </c>
      <c r="J7" s="166"/>
      <c r="K7" s="165" t="s">
        <v>25</v>
      </c>
      <c r="L7" s="166"/>
      <c r="M7" s="165" t="s">
        <v>26</v>
      </c>
      <c r="N7" s="167"/>
    </row>
    <row r="8" spans="1:14" ht="15" customHeight="1">
      <c r="A8" s="57" t="s">
        <v>27</v>
      </c>
      <c r="B8" s="72" t="s">
        <v>28</v>
      </c>
      <c r="D8" s="77">
        <v>-2.5795626999999994</v>
      </c>
      <c r="E8" s="78">
        <v>0.01587326711370011</v>
      </c>
      <c r="F8" s="114">
        <v>7.032320800000001</v>
      </c>
      <c r="G8" s="78">
        <v>0.01619032075781573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-2.1489367</v>
      </c>
      <c r="E9" s="80">
        <v>0.020089177694969765</v>
      </c>
      <c r="F9" s="80">
        <v>1.8966446000000001</v>
      </c>
      <c r="G9" s="80">
        <v>0.02297331450050726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-1.1721036900000001</v>
      </c>
      <c r="E10" s="80">
        <v>0.008627034001737354</v>
      </c>
      <c r="F10" s="80">
        <v>-0.39132755</v>
      </c>
      <c r="G10" s="80">
        <v>0.010103315080258595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14.937808999999998</v>
      </c>
      <c r="E11" s="78">
        <v>0.005731058715638289</v>
      </c>
      <c r="F11" s="78">
        <v>1.3965505999999999</v>
      </c>
      <c r="G11" s="78">
        <v>0.005353711650839936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-0.19272302</v>
      </c>
      <c r="E12" s="80">
        <v>0.00898065885893724</v>
      </c>
      <c r="F12" s="80">
        <v>0.35122127</v>
      </c>
      <c r="G12" s="80">
        <v>0.002841665480423492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20.806885</v>
      </c>
      <c r="D13" s="83">
        <v>-0.18926649999999998</v>
      </c>
      <c r="E13" s="80">
        <v>0.005702757726837517</v>
      </c>
      <c r="F13" s="80">
        <v>0.21620935000000002</v>
      </c>
      <c r="G13" s="80">
        <v>0.005996283058945471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-0.135318624</v>
      </c>
      <c r="E14" s="80">
        <v>0.0030248064851680027</v>
      </c>
      <c r="F14" s="80">
        <v>0.081029419</v>
      </c>
      <c r="G14" s="80">
        <v>0.004080148616345254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-0.3427786</v>
      </c>
      <c r="E15" s="78">
        <v>0.003440653167644871</v>
      </c>
      <c r="F15" s="78">
        <v>0.22418716</v>
      </c>
      <c r="G15" s="78">
        <v>0.004282733638506871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12.515200000000002</v>
      </c>
      <c r="D16" s="83">
        <v>0.009777716199999998</v>
      </c>
      <c r="E16" s="80">
        <v>0.0032457222485854378</v>
      </c>
      <c r="F16" s="80">
        <v>0.047782031</v>
      </c>
      <c r="G16" s="80">
        <v>0.0019105725658643898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0.39899998903274536</v>
      </c>
      <c r="D17" s="83">
        <v>-0.0181978837</v>
      </c>
      <c r="E17" s="80">
        <v>0.000995945249792168</v>
      </c>
      <c r="F17" s="80">
        <v>0.0328307893</v>
      </c>
      <c r="G17" s="80">
        <v>0.003053114066938703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3.052000045776367</v>
      </c>
      <c r="D18" s="83">
        <v>-0.013943847200000001</v>
      </c>
      <c r="E18" s="80">
        <v>0.002278542456715997</v>
      </c>
      <c r="F18" s="80">
        <v>0.048717499000000004</v>
      </c>
      <c r="G18" s="80">
        <v>0.002330934963544399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0.33000001311302185</v>
      </c>
      <c r="D19" s="83">
        <v>-0.12870294000000002</v>
      </c>
      <c r="E19" s="80">
        <v>0.0020992544101173533</v>
      </c>
      <c r="F19" s="80">
        <v>-0.029058947</v>
      </c>
      <c r="G19" s="80">
        <v>0.0017499476447413816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0.32216179999999994</v>
      </c>
      <c r="D20" s="88">
        <v>0.0080568661</v>
      </c>
      <c r="E20" s="89">
        <v>0.0017490308132785217</v>
      </c>
      <c r="F20" s="89">
        <v>0.0034735165999999996</v>
      </c>
      <c r="G20" s="89">
        <v>0.0012548929823430921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0.7726223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0.504402457354397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-2.0841754</v>
      </c>
      <c r="I25" s="101" t="s">
        <v>49</v>
      </c>
      <c r="J25" s="102"/>
      <c r="K25" s="101"/>
      <c r="L25" s="104">
        <v>15.0029494199921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7.490505961371631</v>
      </c>
      <c r="I26" s="106" t="s">
        <v>53</v>
      </c>
      <c r="J26" s="107"/>
      <c r="K26" s="106"/>
      <c r="L26" s="109">
        <v>0.40958155638019833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HCMQAP137_pos5ap2res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119</v>
      </c>
      <c r="B1" s="130" t="s">
        <v>68</v>
      </c>
      <c r="C1" s="120" t="s">
        <v>73</v>
      </c>
      <c r="D1" s="120" t="s">
        <v>75</v>
      </c>
      <c r="E1" s="120" t="s">
        <v>77</v>
      </c>
      <c r="F1" s="127" t="s">
        <v>80</v>
      </c>
      <c r="G1" s="160" t="s">
        <v>120</v>
      </c>
    </row>
    <row r="2" spans="1:7" ht="13.5" thickBot="1">
      <c r="A2" s="139" t="s">
        <v>89</v>
      </c>
      <c r="B2" s="131">
        <v>-2.2580565</v>
      </c>
      <c r="C2" s="122">
        <v>-3.7546163999999993</v>
      </c>
      <c r="D2" s="122">
        <v>-3.7545785</v>
      </c>
      <c r="E2" s="122">
        <v>-3.7550079999999997</v>
      </c>
      <c r="F2" s="128">
        <v>-2.0841754</v>
      </c>
      <c r="G2" s="161">
        <v>3.1169357193983074</v>
      </c>
    </row>
    <row r="3" spans="1:7" ht="14.25" thickBot="1" thickTop="1">
      <c r="A3" s="147" t="s">
        <v>88</v>
      </c>
      <c r="B3" s="148" t="s">
        <v>83</v>
      </c>
      <c r="C3" s="149" t="s">
        <v>84</v>
      </c>
      <c r="D3" s="149" t="s">
        <v>85</v>
      </c>
      <c r="E3" s="149" t="s">
        <v>86</v>
      </c>
      <c r="F3" s="150" t="s">
        <v>87</v>
      </c>
      <c r="G3" s="156" t="s">
        <v>121</v>
      </c>
    </row>
    <row r="4" spans="1:7" ht="12.75">
      <c r="A4" s="144" t="s">
        <v>90</v>
      </c>
      <c r="B4" s="145">
        <v>3.5051726000000003</v>
      </c>
      <c r="C4" s="146">
        <v>-1.06135894</v>
      </c>
      <c r="D4" s="146">
        <v>1.0096916599999999</v>
      </c>
      <c r="E4" s="146">
        <v>1.9175563</v>
      </c>
      <c r="F4" s="151">
        <v>-2.5795626999999994</v>
      </c>
      <c r="G4" s="157">
        <v>0.6116084125606582</v>
      </c>
    </row>
    <row r="5" spans="1:7" ht="12.75">
      <c r="A5" s="139" t="s">
        <v>92</v>
      </c>
      <c r="B5" s="133">
        <v>0.67085167</v>
      </c>
      <c r="C5" s="117">
        <v>0.4036987119999999</v>
      </c>
      <c r="D5" s="117">
        <v>0.60224539</v>
      </c>
      <c r="E5" s="117">
        <v>-0.35201272</v>
      </c>
      <c r="F5" s="152">
        <v>-2.1489367</v>
      </c>
      <c r="G5" s="158">
        <v>-0.03260444943308854</v>
      </c>
    </row>
    <row r="6" spans="1:7" ht="12.75">
      <c r="A6" s="139" t="s">
        <v>94</v>
      </c>
      <c r="B6" s="133">
        <v>-0.025794000000000004</v>
      </c>
      <c r="C6" s="117">
        <v>0.20993329000000002</v>
      </c>
      <c r="D6" s="117">
        <v>-0.24558646999999997</v>
      </c>
      <c r="E6" s="117">
        <v>-0.20273645</v>
      </c>
      <c r="F6" s="152">
        <v>-1.1721036900000001</v>
      </c>
      <c r="G6" s="158">
        <v>-0.2176182919472912</v>
      </c>
    </row>
    <row r="7" spans="1:7" ht="12.75">
      <c r="A7" s="139" t="s">
        <v>96</v>
      </c>
      <c r="B7" s="132">
        <v>4.5202602999999995</v>
      </c>
      <c r="C7" s="116">
        <v>4.626286</v>
      </c>
      <c r="D7" s="116">
        <v>4.513506</v>
      </c>
      <c r="E7" s="116">
        <v>4.8025011</v>
      </c>
      <c r="F7" s="153">
        <v>14.937808999999998</v>
      </c>
      <c r="G7" s="158">
        <v>6.003273029675281</v>
      </c>
    </row>
    <row r="8" spans="1:7" ht="12.75">
      <c r="A8" s="139" t="s">
        <v>98</v>
      </c>
      <c r="B8" s="133">
        <v>0.117323349</v>
      </c>
      <c r="C8" s="117">
        <v>-0.12945557300000002</v>
      </c>
      <c r="D8" s="117">
        <v>-0.14647975</v>
      </c>
      <c r="E8" s="117">
        <v>0.17691259</v>
      </c>
      <c r="F8" s="152">
        <v>-0.19272302</v>
      </c>
      <c r="G8" s="158">
        <v>-0.03258036699248836</v>
      </c>
    </row>
    <row r="9" spans="1:7" ht="12.75">
      <c r="A9" s="139" t="s">
        <v>100</v>
      </c>
      <c r="B9" s="133">
        <v>0.027054132200000004</v>
      </c>
      <c r="C9" s="117">
        <v>0.18740329</v>
      </c>
      <c r="D9" s="117">
        <v>0.15135391499999998</v>
      </c>
      <c r="E9" s="117">
        <v>0.007877105</v>
      </c>
      <c r="F9" s="152">
        <v>-0.18926649999999998</v>
      </c>
      <c r="G9" s="158">
        <v>0.06203219387502856</v>
      </c>
    </row>
    <row r="10" spans="1:7" ht="12.75">
      <c r="A10" s="139" t="s">
        <v>102</v>
      </c>
      <c r="B10" s="133">
        <v>-0.010220299999999998</v>
      </c>
      <c r="C10" s="117">
        <v>-0.035516143</v>
      </c>
      <c r="D10" s="117">
        <v>-0.033174596</v>
      </c>
      <c r="E10" s="117">
        <v>0.01132386</v>
      </c>
      <c r="F10" s="152">
        <v>-0.135318624</v>
      </c>
      <c r="G10" s="158">
        <v>-0.033351031275833144</v>
      </c>
    </row>
    <row r="11" spans="1:7" ht="12.75">
      <c r="A11" s="139" t="s">
        <v>104</v>
      </c>
      <c r="B11" s="132">
        <v>-0.36025976000000004</v>
      </c>
      <c r="C11" s="116">
        <v>-0.10348823599999998</v>
      </c>
      <c r="D11" s="116">
        <v>-0.084699174</v>
      </c>
      <c r="E11" s="116">
        <v>-0.06550685426</v>
      </c>
      <c r="F11" s="154">
        <v>-0.3427786</v>
      </c>
      <c r="G11" s="158">
        <v>-0.15893730617353063</v>
      </c>
    </row>
    <row r="12" spans="1:7" ht="12.75">
      <c r="A12" s="139" t="s">
        <v>106</v>
      </c>
      <c r="B12" s="133">
        <v>-0.0110569353</v>
      </c>
      <c r="C12" s="117">
        <v>0.018027193200000003</v>
      </c>
      <c r="D12" s="117">
        <v>0.002378013</v>
      </c>
      <c r="E12" s="117">
        <v>0.0221324519</v>
      </c>
      <c r="F12" s="152">
        <v>0.009777716199999998</v>
      </c>
      <c r="G12" s="158">
        <v>0.009940288002824399</v>
      </c>
    </row>
    <row r="13" spans="1:7" ht="12.75">
      <c r="A13" s="139" t="s">
        <v>108</v>
      </c>
      <c r="B13" s="133">
        <v>-0.007733359799999999</v>
      </c>
      <c r="C13" s="117">
        <v>-0.0011741312</v>
      </c>
      <c r="D13" s="117">
        <v>0.0048377146</v>
      </c>
      <c r="E13" s="117">
        <v>-0.0045736817</v>
      </c>
      <c r="F13" s="152">
        <v>-0.0181978837</v>
      </c>
      <c r="G13" s="158">
        <v>-0.003768252651064089</v>
      </c>
    </row>
    <row r="14" spans="1:7" ht="12.75">
      <c r="A14" s="139" t="s">
        <v>110</v>
      </c>
      <c r="B14" s="133">
        <v>0.027980272</v>
      </c>
      <c r="C14" s="117">
        <v>0.034914802</v>
      </c>
      <c r="D14" s="117">
        <v>0.041501391</v>
      </c>
      <c r="E14" s="117">
        <v>0.030039753999999995</v>
      </c>
      <c r="F14" s="152">
        <v>-0.013943847200000001</v>
      </c>
      <c r="G14" s="158">
        <v>0.02779821608548593</v>
      </c>
    </row>
    <row r="15" spans="1:7" ht="12.75">
      <c r="A15" s="139" t="s">
        <v>112</v>
      </c>
      <c r="B15" s="134">
        <v>-0.17250888</v>
      </c>
      <c r="C15" s="119">
        <v>-0.16291357</v>
      </c>
      <c r="D15" s="119">
        <v>-0.16233058</v>
      </c>
      <c r="E15" s="119">
        <v>-0.16249539</v>
      </c>
      <c r="F15" s="152">
        <v>-0.12870294000000002</v>
      </c>
      <c r="G15" s="158">
        <v>-0.15949233042806127</v>
      </c>
    </row>
    <row r="16" spans="1:7" ht="12.75">
      <c r="A16" s="139" t="s">
        <v>114</v>
      </c>
      <c r="B16" s="133">
        <v>-0.0017314992099999999</v>
      </c>
      <c r="C16" s="117">
        <v>0.0001629906999999999</v>
      </c>
      <c r="D16" s="117">
        <v>0.004335843000000001</v>
      </c>
      <c r="E16" s="117">
        <v>-0.0002538142999999999</v>
      </c>
      <c r="F16" s="152">
        <v>0.0080568661</v>
      </c>
      <c r="G16" s="158">
        <v>0.0018466904956574172</v>
      </c>
    </row>
    <row r="17" spans="1:7" ht="12.75">
      <c r="A17" s="139" t="s">
        <v>91</v>
      </c>
      <c r="B17" s="132">
        <v>-2.2953751</v>
      </c>
      <c r="C17" s="116">
        <v>2.3556416</v>
      </c>
      <c r="D17" s="116">
        <v>4.0294355</v>
      </c>
      <c r="E17" s="116">
        <v>1.2472627299999999</v>
      </c>
      <c r="F17" s="153">
        <v>7.032320800000001</v>
      </c>
      <c r="G17" s="158">
        <v>2.4432452285864805</v>
      </c>
    </row>
    <row r="18" spans="1:7" ht="12.75">
      <c r="A18" s="139" t="s">
        <v>93</v>
      </c>
      <c r="B18" s="133">
        <v>-2.4476362</v>
      </c>
      <c r="C18" s="117">
        <v>-2.2402699999999998</v>
      </c>
      <c r="D18" s="117">
        <v>0.16994386109999998</v>
      </c>
      <c r="E18" s="117">
        <v>-0.79410704</v>
      </c>
      <c r="F18" s="152">
        <v>1.8966446000000001</v>
      </c>
      <c r="G18" s="158">
        <v>-0.7900027248102643</v>
      </c>
    </row>
    <row r="19" spans="1:7" ht="12.75">
      <c r="A19" s="139" t="s">
        <v>95</v>
      </c>
      <c r="B19" s="133">
        <v>0.0377268573</v>
      </c>
      <c r="C19" s="117">
        <v>1.01195148</v>
      </c>
      <c r="D19" s="117">
        <v>1.2648001999999998</v>
      </c>
      <c r="E19" s="117">
        <v>0.73467828</v>
      </c>
      <c r="F19" s="152">
        <v>-0.39132755</v>
      </c>
      <c r="G19" s="158">
        <v>0.6777075185456692</v>
      </c>
    </row>
    <row r="20" spans="1:7" ht="12.75">
      <c r="A20" s="139" t="s">
        <v>97</v>
      </c>
      <c r="B20" s="132">
        <v>1.4796426000000003</v>
      </c>
      <c r="C20" s="116">
        <v>0.26210474699999997</v>
      </c>
      <c r="D20" s="116">
        <v>0.47787708</v>
      </c>
      <c r="E20" s="116">
        <v>0.20315657800000003</v>
      </c>
      <c r="F20" s="154">
        <v>1.3965505999999999</v>
      </c>
      <c r="G20" s="158">
        <v>0.6274948435653988</v>
      </c>
    </row>
    <row r="21" spans="1:7" ht="12.75">
      <c r="A21" s="139" t="s">
        <v>99</v>
      </c>
      <c r="B21" s="133">
        <v>-0.04114119000000001</v>
      </c>
      <c r="C21" s="117">
        <v>-0.33925977</v>
      </c>
      <c r="D21" s="117">
        <v>-0.21154461315999998</v>
      </c>
      <c r="E21" s="117">
        <v>-0.22294527300000003</v>
      </c>
      <c r="F21" s="152">
        <v>0.35122127</v>
      </c>
      <c r="G21" s="158">
        <v>-0.14520323610022978</v>
      </c>
    </row>
    <row r="22" spans="1:7" ht="12.75">
      <c r="A22" s="139" t="s">
        <v>101</v>
      </c>
      <c r="B22" s="133">
        <v>-0.19386631999999998</v>
      </c>
      <c r="C22" s="117">
        <v>-0.25527905</v>
      </c>
      <c r="D22" s="117">
        <v>0.041441566</v>
      </c>
      <c r="E22" s="117">
        <v>0.14049013400000002</v>
      </c>
      <c r="F22" s="152">
        <v>0.21620935000000002</v>
      </c>
      <c r="G22" s="158">
        <v>-0.0168187428298811</v>
      </c>
    </row>
    <row r="23" spans="1:7" ht="12.75">
      <c r="A23" s="139" t="s">
        <v>103</v>
      </c>
      <c r="B23" s="133">
        <v>-0.0216843205</v>
      </c>
      <c r="C23" s="117">
        <v>0.09872810600000001</v>
      </c>
      <c r="D23" s="117">
        <v>0.058702115</v>
      </c>
      <c r="E23" s="117">
        <v>0.099817652</v>
      </c>
      <c r="F23" s="152">
        <v>0.081029419</v>
      </c>
      <c r="G23" s="158">
        <v>0.06957508626610007</v>
      </c>
    </row>
    <row r="24" spans="1:7" ht="12.75">
      <c r="A24" s="139" t="s">
        <v>105</v>
      </c>
      <c r="B24" s="132">
        <v>0.14162523</v>
      </c>
      <c r="C24" s="116">
        <v>0.06247272499999999</v>
      </c>
      <c r="D24" s="116">
        <v>0.068308255</v>
      </c>
      <c r="E24" s="116">
        <v>0.071599711</v>
      </c>
      <c r="F24" s="154">
        <v>0.22418716</v>
      </c>
      <c r="G24" s="158">
        <v>0.09912132180690329</v>
      </c>
    </row>
    <row r="25" spans="1:7" ht="12.75">
      <c r="A25" s="139" t="s">
        <v>107</v>
      </c>
      <c r="B25" s="133">
        <v>0.01754728991</v>
      </c>
      <c r="C25" s="117">
        <v>-0.0224135686</v>
      </c>
      <c r="D25" s="117">
        <v>-0.034529743620000004</v>
      </c>
      <c r="E25" s="117">
        <v>-0.004836847</v>
      </c>
      <c r="F25" s="152">
        <v>0.047782031</v>
      </c>
      <c r="G25" s="158">
        <v>-0.005943220217286775</v>
      </c>
    </row>
    <row r="26" spans="1:7" ht="12.75">
      <c r="A26" s="139" t="s">
        <v>109</v>
      </c>
      <c r="B26" s="133">
        <v>0.010134952999999999</v>
      </c>
      <c r="C26" s="117">
        <v>-0.0156360629</v>
      </c>
      <c r="D26" s="117">
        <v>-0.002224425</v>
      </c>
      <c r="E26" s="117">
        <v>0.0322067027</v>
      </c>
      <c r="F26" s="152">
        <v>0.0328307893</v>
      </c>
      <c r="G26" s="158">
        <v>0.009303063229852809</v>
      </c>
    </row>
    <row r="27" spans="1:7" ht="12.75">
      <c r="A27" s="139" t="s">
        <v>111</v>
      </c>
      <c r="B27" s="133">
        <v>0.07721852300000001</v>
      </c>
      <c r="C27" s="117">
        <v>0.005959360800000001</v>
      </c>
      <c r="D27" s="117">
        <v>-0.0044613132</v>
      </c>
      <c r="E27" s="117">
        <v>0.050968033999999995</v>
      </c>
      <c r="F27" s="152">
        <v>0.048717499000000004</v>
      </c>
      <c r="G27" s="158">
        <v>0.030302227599788328</v>
      </c>
    </row>
    <row r="28" spans="1:7" ht="12.75">
      <c r="A28" s="139" t="s">
        <v>113</v>
      </c>
      <c r="B28" s="133">
        <v>0.022104096</v>
      </c>
      <c r="C28" s="117">
        <v>0.021702889</v>
      </c>
      <c r="D28" s="117">
        <v>0.014028601899999998</v>
      </c>
      <c r="E28" s="117">
        <v>0.015712228</v>
      </c>
      <c r="F28" s="152">
        <v>-0.029058947</v>
      </c>
      <c r="G28" s="158">
        <v>0.011694240829784068</v>
      </c>
    </row>
    <row r="29" spans="1:7" ht="13.5" thickBot="1">
      <c r="A29" s="140" t="s">
        <v>115</v>
      </c>
      <c r="B29" s="135">
        <v>-0.0031798264</v>
      </c>
      <c r="C29" s="118">
        <v>0.00528124661</v>
      </c>
      <c r="D29" s="118">
        <v>0.0038666178430000002</v>
      </c>
      <c r="E29" s="118">
        <v>0.0034774880699999997</v>
      </c>
      <c r="F29" s="155">
        <v>0.0034735165999999996</v>
      </c>
      <c r="G29" s="159">
        <v>0.003041294290735074</v>
      </c>
    </row>
    <row r="30" spans="1:7" ht="13.5" thickTop="1">
      <c r="A30" s="141" t="s">
        <v>116</v>
      </c>
      <c r="B30" s="136">
        <v>-0.5169373922122238</v>
      </c>
      <c r="C30" s="125">
        <v>-0.26812725148730415</v>
      </c>
      <c r="D30" s="125">
        <v>0.036473173584076854</v>
      </c>
      <c r="E30" s="125">
        <v>0.21931948535614132</v>
      </c>
      <c r="F30" s="121">
        <v>0.504402457354397</v>
      </c>
      <c r="G30" s="160" t="s">
        <v>127</v>
      </c>
    </row>
    <row r="31" spans="1:7" ht="13.5" thickBot="1">
      <c r="A31" s="142" t="s">
        <v>117</v>
      </c>
      <c r="B31" s="131">
        <v>20.587159</v>
      </c>
      <c r="C31" s="122">
        <v>20.620728</v>
      </c>
      <c r="D31" s="122">
        <v>20.672608</v>
      </c>
      <c r="E31" s="122">
        <v>20.730591</v>
      </c>
      <c r="F31" s="123">
        <v>20.806885</v>
      </c>
      <c r="G31" s="162">
        <v>-209.74</v>
      </c>
    </row>
    <row r="32" spans="1:7" ht="15.75" thickBot="1" thickTop="1">
      <c r="A32" s="143" t="s">
        <v>118</v>
      </c>
      <c r="B32" s="137">
        <v>0.12250000238418579</v>
      </c>
      <c r="C32" s="126">
        <v>-0.24400000274181366</v>
      </c>
      <c r="D32" s="126">
        <v>0.25599999725818634</v>
      </c>
      <c r="E32" s="126">
        <v>-0.23900000005960464</v>
      </c>
      <c r="F32" s="124">
        <v>0.3645000010728836</v>
      </c>
      <c r="G32" s="129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6.83203125" style="163" bestFit="1" customWidth="1"/>
    <col min="2" max="2" width="14.83203125" style="163" bestFit="1" customWidth="1"/>
    <col min="3" max="3" width="15.33203125" style="163" bestFit="1" customWidth="1"/>
    <col min="4" max="4" width="16" style="163" bestFit="1" customWidth="1"/>
    <col min="5" max="5" width="22.16015625" style="163" bestFit="1" customWidth="1"/>
    <col min="6" max="7" width="15.33203125" style="163" bestFit="1" customWidth="1"/>
    <col min="8" max="8" width="14.16015625" style="163" bestFit="1" customWidth="1"/>
    <col min="9" max="9" width="14.83203125" style="163" bestFit="1" customWidth="1"/>
    <col min="10" max="10" width="6.33203125" style="163" bestFit="1" customWidth="1"/>
    <col min="11" max="11" width="15" style="163" bestFit="1" customWidth="1"/>
    <col min="12" max="16384" width="10.66015625" style="163" customWidth="1"/>
  </cols>
  <sheetData>
    <row r="1" spans="1:5" ht="12.75">
      <c r="A1" s="163" t="s">
        <v>128</v>
      </c>
      <c r="B1" s="163" t="s">
        <v>129</v>
      </c>
      <c r="C1" s="163" t="s">
        <v>130</v>
      </c>
      <c r="D1" s="163" t="s">
        <v>131</v>
      </c>
      <c r="E1" s="163" t="s">
        <v>28</v>
      </c>
    </row>
    <row r="3" spans="1:7" ht="12.75">
      <c r="A3" s="163" t="s">
        <v>132</v>
      </c>
      <c r="B3" s="163" t="s">
        <v>83</v>
      </c>
      <c r="C3" s="163" t="s">
        <v>84</v>
      </c>
      <c r="D3" s="163" t="s">
        <v>85</v>
      </c>
      <c r="E3" s="163" t="s">
        <v>86</v>
      </c>
      <c r="F3" s="163" t="s">
        <v>87</v>
      </c>
      <c r="G3" s="163" t="s">
        <v>133</v>
      </c>
    </row>
    <row r="4" spans="1:7" ht="12.75">
      <c r="A4" s="163" t="s">
        <v>134</v>
      </c>
      <c r="B4" s="163">
        <f>0.002255*1.0033</f>
        <v>0.0022624415</v>
      </c>
      <c r="C4" s="163">
        <f>0.00375*1.0033</f>
        <v>0.003762375</v>
      </c>
      <c r="D4" s="163">
        <f>0.00375*1.0033</f>
        <v>0.003762375</v>
      </c>
      <c r="E4" s="163">
        <f>0.00375*1.0033</f>
        <v>0.003762375</v>
      </c>
      <c r="F4" s="163">
        <f>0.002082*1.0033</f>
        <v>0.0020888706000000003</v>
      </c>
      <c r="G4" s="163">
        <f>0.011688*1.0033</f>
        <v>0.011726570400000002</v>
      </c>
    </row>
    <row r="5" spans="1:7" ht="12.75">
      <c r="A5" s="163" t="s">
        <v>135</v>
      </c>
      <c r="B5" s="163">
        <v>8.548272</v>
      </c>
      <c r="C5" s="163">
        <v>4.451378</v>
      </c>
      <c r="D5" s="163">
        <v>-0.528824</v>
      </c>
      <c r="E5" s="163">
        <v>-4.200155</v>
      </c>
      <c r="F5" s="163">
        <v>-8.701741</v>
      </c>
      <c r="G5" s="163">
        <v>-0.121148</v>
      </c>
    </row>
    <row r="6" spans="1:7" ht="12.75">
      <c r="A6" s="163" t="s">
        <v>136</v>
      </c>
      <c r="B6" s="164">
        <v>88.22704</v>
      </c>
      <c r="C6" s="164">
        <v>24.61975</v>
      </c>
      <c r="D6" s="164">
        <v>-96.19212</v>
      </c>
      <c r="E6" s="164">
        <v>5.193295</v>
      </c>
      <c r="F6" s="164">
        <v>23.98799</v>
      </c>
      <c r="G6" s="164">
        <v>-0.003097689</v>
      </c>
    </row>
    <row r="7" spans="1:7" ht="12.75">
      <c r="A7" s="163" t="s">
        <v>137</v>
      </c>
      <c r="B7" s="164">
        <v>10000</v>
      </c>
      <c r="C7" s="164">
        <v>10000</v>
      </c>
      <c r="D7" s="164">
        <v>10000</v>
      </c>
      <c r="E7" s="164">
        <v>10000</v>
      </c>
      <c r="F7" s="164">
        <v>10000</v>
      </c>
      <c r="G7" s="164">
        <v>10000</v>
      </c>
    </row>
    <row r="8" spans="1:7" ht="12.75">
      <c r="A8" s="163" t="s">
        <v>90</v>
      </c>
      <c r="B8" s="164">
        <v>3.440694</v>
      </c>
      <c r="C8" s="164">
        <v>-0.9995103</v>
      </c>
      <c r="D8" s="164">
        <v>0.9836195</v>
      </c>
      <c r="E8" s="164">
        <v>1.901613</v>
      </c>
      <c r="F8" s="164">
        <v>-2.301448</v>
      </c>
      <c r="G8" s="164">
        <v>0.6442876</v>
      </c>
    </row>
    <row r="9" spans="1:7" ht="12.75">
      <c r="A9" s="163" t="s">
        <v>92</v>
      </c>
      <c r="B9" s="164">
        <v>0.7172655</v>
      </c>
      <c r="C9" s="164">
        <v>0.3556305</v>
      </c>
      <c r="D9" s="164">
        <v>0.5125364</v>
      </c>
      <c r="E9" s="164">
        <v>-0.3597829</v>
      </c>
      <c r="F9" s="164">
        <v>-2.228246</v>
      </c>
      <c r="G9" s="164">
        <v>-0.07147304</v>
      </c>
    </row>
    <row r="10" spans="1:7" ht="12.75">
      <c r="A10" s="163" t="s">
        <v>94</v>
      </c>
      <c r="B10" s="164">
        <v>0.3148259</v>
      </c>
      <c r="C10" s="164">
        <v>0.2188967</v>
      </c>
      <c r="D10" s="164">
        <v>-0.498014</v>
      </c>
      <c r="E10" s="164">
        <v>-0.1716328</v>
      </c>
      <c r="F10" s="164">
        <v>-0.9186547</v>
      </c>
      <c r="G10" s="164">
        <v>-0.1855462</v>
      </c>
    </row>
    <row r="11" spans="1:7" ht="12.75">
      <c r="A11" s="163" t="s">
        <v>96</v>
      </c>
      <c r="B11" s="164">
        <v>4.444827</v>
      </c>
      <c r="C11" s="164">
        <v>4.648511</v>
      </c>
      <c r="D11" s="164">
        <v>4.544875</v>
      </c>
      <c r="E11" s="164">
        <v>4.798206</v>
      </c>
      <c r="F11" s="164">
        <v>15.04004</v>
      </c>
      <c r="G11" s="164">
        <v>6.017689</v>
      </c>
    </row>
    <row r="12" spans="1:7" ht="12.75">
      <c r="A12" s="163" t="s">
        <v>98</v>
      </c>
      <c r="B12" s="164">
        <v>0.1022118</v>
      </c>
      <c r="C12" s="164">
        <v>-0.08458373</v>
      </c>
      <c r="D12" s="164">
        <v>-0.1569135</v>
      </c>
      <c r="E12" s="164">
        <v>0.183641</v>
      </c>
      <c r="F12" s="164">
        <v>-0.1358187</v>
      </c>
      <c r="G12" s="164">
        <v>-0.01727111</v>
      </c>
    </row>
    <row r="13" spans="1:7" ht="12.75">
      <c r="A13" s="163" t="s">
        <v>100</v>
      </c>
      <c r="B13" s="164">
        <v>0.05501874</v>
      </c>
      <c r="C13" s="164">
        <v>0.1933357</v>
      </c>
      <c r="D13" s="164">
        <v>0.1558828</v>
      </c>
      <c r="E13" s="164">
        <v>0.0272193</v>
      </c>
      <c r="F13" s="164">
        <v>-0.1462167</v>
      </c>
      <c r="G13" s="164">
        <v>0.07900357</v>
      </c>
    </row>
    <row r="14" spans="1:7" ht="12.75">
      <c r="A14" s="163" t="s">
        <v>102</v>
      </c>
      <c r="B14" s="164">
        <v>-0.01465741</v>
      </c>
      <c r="C14" s="164">
        <v>-0.04665076</v>
      </c>
      <c r="D14" s="164">
        <v>-0.031775</v>
      </c>
      <c r="E14" s="164">
        <v>0.02390148</v>
      </c>
      <c r="F14" s="164">
        <v>-0.08669644</v>
      </c>
      <c r="G14" s="164">
        <v>-0.02680872</v>
      </c>
    </row>
    <row r="15" spans="1:7" ht="12.75">
      <c r="A15" s="163" t="s">
        <v>104</v>
      </c>
      <c r="B15" s="164">
        <v>-0.3677016</v>
      </c>
      <c r="C15" s="164">
        <v>-0.1009917</v>
      </c>
      <c r="D15" s="164">
        <v>-0.07821293</v>
      </c>
      <c r="E15" s="164">
        <v>-0.06224516</v>
      </c>
      <c r="F15" s="164">
        <v>-0.311271</v>
      </c>
      <c r="G15" s="164">
        <v>-0.1528456</v>
      </c>
    </row>
    <row r="16" spans="1:7" ht="12.75">
      <c r="A16" s="163" t="s">
        <v>106</v>
      </c>
      <c r="B16" s="164">
        <v>-0.01453254</v>
      </c>
      <c r="C16" s="164">
        <v>0.01967213</v>
      </c>
      <c r="D16" s="164">
        <v>0.00030777</v>
      </c>
      <c r="E16" s="164">
        <v>0.02295688</v>
      </c>
      <c r="F16" s="164">
        <v>0.0193924</v>
      </c>
      <c r="G16" s="164">
        <v>0.01081676</v>
      </c>
    </row>
    <row r="17" spans="1:7" ht="12.75">
      <c r="A17" s="163" t="s">
        <v>108</v>
      </c>
      <c r="B17" s="164">
        <v>0.00831785</v>
      </c>
      <c r="C17" s="164">
        <v>-0.001642655</v>
      </c>
      <c r="D17" s="164">
        <v>1.272659E-05</v>
      </c>
      <c r="E17" s="164">
        <v>0.001197499</v>
      </c>
      <c r="F17" s="164">
        <v>-0.002580513</v>
      </c>
      <c r="G17" s="164">
        <v>0.0007560808</v>
      </c>
    </row>
    <row r="18" spans="1:7" ht="12.75">
      <c r="A18" s="163" t="s">
        <v>110</v>
      </c>
      <c r="B18" s="164">
        <v>0.01335108</v>
      </c>
      <c r="C18" s="164">
        <v>0.03191019</v>
      </c>
      <c r="D18" s="164">
        <v>0.04665872</v>
      </c>
      <c r="E18" s="164">
        <v>0.03309184</v>
      </c>
      <c r="F18" s="164">
        <v>-0.01102039</v>
      </c>
      <c r="G18" s="164">
        <v>0.02732868</v>
      </c>
    </row>
    <row r="19" spans="1:7" ht="12.75">
      <c r="A19" s="163" t="s">
        <v>112</v>
      </c>
      <c r="B19" s="164">
        <v>-0.1740246</v>
      </c>
      <c r="C19" s="164">
        <v>-0.1640251</v>
      </c>
      <c r="D19" s="164">
        <v>-0.1623249</v>
      </c>
      <c r="E19" s="164">
        <v>-0.1613083</v>
      </c>
      <c r="F19" s="164">
        <v>-0.1312921</v>
      </c>
      <c r="G19" s="164">
        <v>-0.1600371</v>
      </c>
    </row>
    <row r="20" spans="1:7" ht="12.75">
      <c r="A20" s="163" t="s">
        <v>114</v>
      </c>
      <c r="B20" s="164">
        <v>-0.001308586</v>
      </c>
      <c r="C20" s="164">
        <v>-0.0001873884</v>
      </c>
      <c r="D20" s="164">
        <v>0.004362243</v>
      </c>
      <c r="E20" s="164">
        <v>-1.117595E-05</v>
      </c>
      <c r="F20" s="164">
        <v>0.008466067</v>
      </c>
      <c r="G20" s="164">
        <v>0.001943221</v>
      </c>
    </row>
    <row r="21" spans="1:7" ht="12.75">
      <c r="A21" s="163" t="s">
        <v>138</v>
      </c>
      <c r="B21" s="164">
        <v>-173.8415</v>
      </c>
      <c r="C21" s="164">
        <v>149.9868</v>
      </c>
      <c r="D21" s="164">
        <v>153.4359</v>
      </c>
      <c r="E21" s="164">
        <v>-85.79487</v>
      </c>
      <c r="F21" s="164">
        <v>-203.7524</v>
      </c>
      <c r="G21" s="164">
        <v>0.000457858</v>
      </c>
    </row>
    <row r="22" spans="1:7" ht="12.75">
      <c r="A22" s="163" t="s">
        <v>139</v>
      </c>
      <c r="B22" s="164">
        <v>170.9821</v>
      </c>
      <c r="C22" s="164">
        <v>89.02991</v>
      </c>
      <c r="D22" s="164">
        <v>-10.57649</v>
      </c>
      <c r="E22" s="164">
        <v>-84.00508</v>
      </c>
      <c r="F22" s="164">
        <v>-174.0524</v>
      </c>
      <c r="G22" s="164">
        <v>0</v>
      </c>
    </row>
    <row r="23" spans="1:7" ht="12.75">
      <c r="A23" s="163" t="s">
        <v>91</v>
      </c>
      <c r="B23" s="164">
        <v>-2.306911</v>
      </c>
      <c r="C23" s="164">
        <v>2.340027</v>
      </c>
      <c r="D23" s="164">
        <v>4.048314</v>
      </c>
      <c r="E23" s="164">
        <v>1.230338</v>
      </c>
      <c r="F23" s="164">
        <v>7.247901</v>
      </c>
      <c r="G23" s="164">
        <v>2.467029</v>
      </c>
    </row>
    <row r="24" spans="1:7" ht="12.75">
      <c r="A24" s="163" t="s">
        <v>93</v>
      </c>
      <c r="B24" s="164">
        <v>-2.421992</v>
      </c>
      <c r="C24" s="164">
        <v>-2.198209</v>
      </c>
      <c r="D24" s="164">
        <v>0.09945215</v>
      </c>
      <c r="E24" s="164">
        <v>-0.7710503</v>
      </c>
      <c r="F24" s="164">
        <v>2.069544</v>
      </c>
      <c r="G24" s="164">
        <v>-0.7645291</v>
      </c>
    </row>
    <row r="25" spans="1:7" ht="12.75">
      <c r="A25" s="163" t="s">
        <v>95</v>
      </c>
      <c r="B25" s="164">
        <v>-0.2604434</v>
      </c>
      <c r="C25" s="164">
        <v>1.381944</v>
      </c>
      <c r="D25" s="164">
        <v>1.60308</v>
      </c>
      <c r="E25" s="164">
        <v>0.5468412</v>
      </c>
      <c r="F25" s="164">
        <v>-1.842553</v>
      </c>
      <c r="G25" s="164">
        <v>0.5660488</v>
      </c>
    </row>
    <row r="26" spans="1:7" ht="12.75">
      <c r="A26" s="163" t="s">
        <v>97</v>
      </c>
      <c r="B26" s="164">
        <v>1.709872</v>
      </c>
      <c r="C26" s="164">
        <v>0.3799395</v>
      </c>
      <c r="D26" s="164">
        <v>0.4709211</v>
      </c>
      <c r="E26" s="164">
        <v>0.08168153</v>
      </c>
      <c r="F26" s="164">
        <v>0.6499826</v>
      </c>
      <c r="G26" s="164">
        <v>0.5582477</v>
      </c>
    </row>
    <row r="27" spans="1:7" ht="12.75">
      <c r="A27" s="163" t="s">
        <v>99</v>
      </c>
      <c r="B27" s="164">
        <v>-0.04483741</v>
      </c>
      <c r="C27" s="164">
        <v>-0.3231807</v>
      </c>
      <c r="D27" s="164">
        <v>-0.193452</v>
      </c>
      <c r="E27" s="164">
        <v>-0.2259607</v>
      </c>
      <c r="F27" s="164">
        <v>0.3916144</v>
      </c>
      <c r="G27" s="164">
        <v>-0.1328615</v>
      </c>
    </row>
    <row r="28" spans="1:7" ht="12.75">
      <c r="A28" s="163" t="s">
        <v>101</v>
      </c>
      <c r="B28" s="164">
        <v>-0.1967413</v>
      </c>
      <c r="C28" s="164">
        <v>-0.254001</v>
      </c>
      <c r="D28" s="164">
        <v>0.03153832</v>
      </c>
      <c r="E28" s="164">
        <v>0.1370205</v>
      </c>
      <c r="F28" s="164">
        <v>0.2430624</v>
      </c>
      <c r="G28" s="164">
        <v>-0.01656691</v>
      </c>
    </row>
    <row r="29" spans="1:7" ht="12.75">
      <c r="A29" s="163" t="s">
        <v>103</v>
      </c>
      <c r="B29" s="164">
        <v>0.03858942</v>
      </c>
      <c r="C29" s="164">
        <v>0.08116741</v>
      </c>
      <c r="D29" s="164">
        <v>0.03827812</v>
      </c>
      <c r="E29" s="164">
        <v>0.1006129</v>
      </c>
      <c r="F29" s="164">
        <v>0.1509733</v>
      </c>
      <c r="G29" s="164">
        <v>0.07868991</v>
      </c>
    </row>
    <row r="30" spans="1:7" ht="12.75">
      <c r="A30" s="163" t="s">
        <v>105</v>
      </c>
      <c r="B30" s="164">
        <v>0.1093191</v>
      </c>
      <c r="C30" s="164">
        <v>0.05683161</v>
      </c>
      <c r="D30" s="164">
        <v>0.06866807</v>
      </c>
      <c r="E30" s="164">
        <v>0.06849018</v>
      </c>
      <c r="F30" s="164">
        <v>0.2467061</v>
      </c>
      <c r="G30" s="164">
        <v>0.09544368</v>
      </c>
    </row>
    <row r="31" spans="1:7" ht="12.75">
      <c r="A31" s="163" t="s">
        <v>107</v>
      </c>
      <c r="B31" s="164">
        <v>0.01384835</v>
      </c>
      <c r="C31" s="164">
        <v>-0.0241294</v>
      </c>
      <c r="D31" s="164">
        <v>-0.03613742</v>
      </c>
      <c r="E31" s="164">
        <v>-0.007341181</v>
      </c>
      <c r="F31" s="164">
        <v>0.04693752</v>
      </c>
      <c r="G31" s="164">
        <v>-0.007996161</v>
      </c>
    </row>
    <row r="32" spans="1:7" ht="12.75">
      <c r="A32" s="163" t="s">
        <v>109</v>
      </c>
      <c r="B32" s="164">
        <v>0.0134052</v>
      </c>
      <c r="C32" s="164">
        <v>-0.01019306</v>
      </c>
      <c r="D32" s="164">
        <v>0.006317737</v>
      </c>
      <c r="E32" s="164">
        <v>0.02878479</v>
      </c>
      <c r="F32" s="164">
        <v>0.03777315</v>
      </c>
      <c r="G32" s="164">
        <v>0.01297673</v>
      </c>
    </row>
    <row r="33" spans="1:7" ht="12.75">
      <c r="A33" s="163" t="s">
        <v>111</v>
      </c>
      <c r="B33" s="164">
        <v>0.09225342</v>
      </c>
      <c r="C33" s="164">
        <v>-0.001739939</v>
      </c>
      <c r="D33" s="164">
        <v>-0.0153098</v>
      </c>
      <c r="E33" s="164">
        <v>0.05505711</v>
      </c>
      <c r="F33" s="164">
        <v>0.06093683</v>
      </c>
      <c r="G33" s="164">
        <v>0.03062622</v>
      </c>
    </row>
    <row r="34" spans="1:7" ht="12.75">
      <c r="A34" s="163" t="s">
        <v>113</v>
      </c>
      <c r="B34" s="164">
        <v>0.001399563</v>
      </c>
      <c r="C34" s="164">
        <v>0.01156679</v>
      </c>
      <c r="D34" s="164">
        <v>0.01528652</v>
      </c>
      <c r="E34" s="164">
        <v>0.02527926</v>
      </c>
      <c r="F34" s="164">
        <v>-0.01323699</v>
      </c>
      <c r="G34" s="164">
        <v>0.01099604</v>
      </c>
    </row>
    <row r="35" spans="1:7" ht="12.75">
      <c r="A35" s="163" t="s">
        <v>115</v>
      </c>
      <c r="B35" s="164">
        <v>-0.003371031</v>
      </c>
      <c r="C35" s="164">
        <v>0.005286626</v>
      </c>
      <c r="D35" s="164">
        <v>0.00383931</v>
      </c>
      <c r="E35" s="164">
        <v>0.003491811</v>
      </c>
      <c r="F35" s="164">
        <v>0.002396865</v>
      </c>
      <c r="G35" s="164">
        <v>0.002867887</v>
      </c>
    </row>
    <row r="36" spans="1:6" ht="12.75">
      <c r="A36" s="163" t="s">
        <v>140</v>
      </c>
      <c r="B36" s="164">
        <v>20.80689</v>
      </c>
      <c r="C36" s="164">
        <v>20.81299</v>
      </c>
      <c r="D36" s="164">
        <v>20.82825</v>
      </c>
      <c r="E36" s="164">
        <v>20.84045</v>
      </c>
      <c r="F36" s="164">
        <v>20.85266</v>
      </c>
    </row>
    <row r="37" spans="1:6" ht="12.75">
      <c r="A37" s="163" t="s">
        <v>141</v>
      </c>
      <c r="B37" s="164">
        <v>0.3631592</v>
      </c>
      <c r="C37" s="164">
        <v>0.3560384</v>
      </c>
      <c r="D37" s="164">
        <v>0.3494263</v>
      </c>
      <c r="E37" s="164">
        <v>0.3463745</v>
      </c>
      <c r="F37" s="164">
        <v>0.3438314</v>
      </c>
    </row>
    <row r="38" spans="1:7" ht="12.75">
      <c r="A38" s="163" t="s">
        <v>142</v>
      </c>
      <c r="B38" s="164">
        <v>-0.0001448906</v>
      </c>
      <c r="C38" s="164">
        <v>-4.412015E-05</v>
      </c>
      <c r="D38" s="164">
        <v>0.0001638023</v>
      </c>
      <c r="E38" s="164">
        <v>-1.005312E-05</v>
      </c>
      <c r="F38" s="164">
        <v>-4.679421E-05</v>
      </c>
      <c r="G38" s="164">
        <v>0.000369135</v>
      </c>
    </row>
    <row r="39" spans="1:7" ht="12.75">
      <c r="A39" s="163" t="s">
        <v>143</v>
      </c>
      <c r="B39" s="164">
        <v>0.0002980079</v>
      </c>
      <c r="C39" s="164">
        <v>-0.0002545848</v>
      </c>
      <c r="D39" s="164">
        <v>-0.0002606677</v>
      </c>
      <c r="E39" s="164">
        <v>0.0001457668</v>
      </c>
      <c r="F39" s="164">
        <v>0.0003455646</v>
      </c>
      <c r="G39" s="164">
        <v>0.000427019</v>
      </c>
    </row>
    <row r="40" spans="2:5" ht="12.75">
      <c r="B40" s="163" t="s">
        <v>144</v>
      </c>
      <c r="C40" s="163">
        <v>-0.00375</v>
      </c>
      <c r="D40" s="163" t="s">
        <v>145</v>
      </c>
      <c r="E40" s="163">
        <v>3.116914</v>
      </c>
    </row>
    <row r="42" ht="12.75">
      <c r="A42" s="163" t="s">
        <v>146</v>
      </c>
    </row>
    <row r="50" spans="1:7" ht="12.75">
      <c r="A50" s="163" t="s">
        <v>147</v>
      </c>
      <c r="B50" s="163">
        <f>-0.017/(B7*B7+B22*B22)*(B21*B22+B6*B7)</f>
        <v>-0.00014489056601372287</v>
      </c>
      <c r="C50" s="163">
        <f>-0.017/(C7*C7+C22*C22)*(C21*C22+C6*C7)</f>
        <v>-4.4120140816185736E-05</v>
      </c>
      <c r="D50" s="163">
        <f>-0.017/(D7*D7+D22*D22)*(D21*D22+D6*D7)</f>
        <v>0.00016380229902178027</v>
      </c>
      <c r="E50" s="163">
        <f>-0.017/(E7*E7+E22*E22)*(E21*E22+E6*E7)</f>
        <v>-1.0053116902321189E-05</v>
      </c>
      <c r="F50" s="163">
        <f>-0.017/(F7*F7+F22*F22)*(F21*F22+F6*F7)</f>
        <v>-4.679421806661324E-05</v>
      </c>
      <c r="G50" s="163">
        <f>(B50*B$4+C50*C$4+D50*D$4+E50*E$4+F50*F$4)/SUM(B$4:F$4)</f>
        <v>-8.369079032757343E-07</v>
      </c>
    </row>
    <row r="51" spans="1:7" ht="12.75">
      <c r="A51" s="163" t="s">
        <v>148</v>
      </c>
      <c r="B51" s="163">
        <f>-0.017/(B7*B7+B22*B22)*(B21*B7-B6*B22)</f>
        <v>0.00029800791932472153</v>
      </c>
      <c r="C51" s="163">
        <f>-0.017/(C7*C7+C22*C22)*(C21*C7-C6*C22)</f>
        <v>-0.00025458475878339476</v>
      </c>
      <c r="D51" s="163">
        <f>-0.017/(D7*D7+D22*D22)*(D21*D7-D6*D22)</f>
        <v>-0.00026066778466224194</v>
      </c>
      <c r="E51" s="163">
        <f>-0.017/(E7*E7+E22*E22)*(E21*E7-E6*E22)</f>
        <v>0.00014576682771103713</v>
      </c>
      <c r="F51" s="163">
        <f>-0.017/(F7*F7+F22*F22)*(F21*F7-F6*F22)</f>
        <v>0.00034556461540393823</v>
      </c>
      <c r="G51" s="163">
        <f>(B51*B$4+C51*C$4+D51*D$4+E51*E$4+F51*F$4)/SUM(B$4:F$4)</f>
        <v>3.786458807659066E-07</v>
      </c>
    </row>
    <row r="58" ht="12.75">
      <c r="A58" s="163" t="s">
        <v>150</v>
      </c>
    </row>
    <row r="60" spans="2:6" ht="12.75">
      <c r="B60" s="163" t="s">
        <v>83</v>
      </c>
      <c r="C60" s="163" t="s">
        <v>84</v>
      </c>
      <c r="D60" s="163" t="s">
        <v>85</v>
      </c>
      <c r="E60" s="163" t="s">
        <v>86</v>
      </c>
      <c r="F60" s="163" t="s">
        <v>87</v>
      </c>
    </row>
    <row r="61" spans="1:6" ht="12.75">
      <c r="A61" s="163" t="s">
        <v>152</v>
      </c>
      <c r="B61" s="163">
        <f>B6+(1/0.017)*(B7*B50-B22*B51)</f>
        <v>0</v>
      </c>
      <c r="C61" s="163">
        <f>C6+(1/0.017)*(C7*C50-C22*C51)</f>
        <v>0</v>
      </c>
      <c r="D61" s="163">
        <f>D6+(1/0.017)*(D7*D50-D22*D51)</f>
        <v>0</v>
      </c>
      <c r="E61" s="163">
        <f>E6+(1/0.017)*(E7*E50-E22*E51)</f>
        <v>0</v>
      </c>
      <c r="F61" s="163">
        <f>F6+(1/0.017)*(F7*F50-F22*F51)</f>
        <v>0</v>
      </c>
    </row>
    <row r="62" spans="1:6" ht="12.75">
      <c r="A62" s="163" t="s">
        <v>155</v>
      </c>
      <c r="B62" s="163">
        <f>B7+(2/0.017)*(B8*B50-B23*B51)</f>
        <v>10000.02222984071</v>
      </c>
      <c r="C62" s="163">
        <f>C7+(2/0.017)*(C8*C50-C23*C51)</f>
        <v>10000.07527455818</v>
      </c>
      <c r="D62" s="163">
        <f>D7+(2/0.017)*(D8*D50-D23*D51)</f>
        <v>10000.143104020877</v>
      </c>
      <c r="E62" s="163">
        <f>E7+(2/0.017)*(E8*E50-E23*E51)</f>
        <v>9999.976651811168</v>
      </c>
      <c r="F62" s="163">
        <f>F7+(2/0.017)*(F8*F50-F23*F51)</f>
        <v>9999.718008980944</v>
      </c>
    </row>
    <row r="63" spans="1:6" ht="12.75">
      <c r="A63" s="163" t="s">
        <v>156</v>
      </c>
      <c r="B63" s="163">
        <f>B8+(3/0.017)*(B9*B50-B24*B51)</f>
        <v>3.549725963340707</v>
      </c>
      <c r="C63" s="163">
        <f>C8+(3/0.017)*(C9*C50-C24*C51)</f>
        <v>-1.1010375310162972</v>
      </c>
      <c r="D63" s="163">
        <f>D8+(3/0.017)*(D9*D50-D24*D51)</f>
        <v>1.003009843342249</v>
      </c>
      <c r="E63" s="163">
        <f>E8+(3/0.017)*(E9*E50-E24*E51)</f>
        <v>1.922085440433494</v>
      </c>
      <c r="F63" s="163">
        <f>F8+(3/0.017)*(F9*F50-F24*F51)</f>
        <v>-2.4092524965632007</v>
      </c>
    </row>
    <row r="64" spans="1:6" ht="12.75">
      <c r="A64" s="163" t="s">
        <v>157</v>
      </c>
      <c r="B64" s="163">
        <f>B9+(4/0.017)*(B10*B50-B25*B51)</f>
        <v>0.724794651268018</v>
      </c>
      <c r="C64" s="163">
        <f>C9+(4/0.017)*(C10*C50-C25*C51)</f>
        <v>0.4361397062738733</v>
      </c>
      <c r="D64" s="163">
        <f>D9+(4/0.017)*(D10*D50-D25*D51)</f>
        <v>0.591664746845015</v>
      </c>
      <c r="E64" s="163">
        <f>E9+(4/0.017)*(E10*E50-E25*E51)</f>
        <v>-0.3781325146783586</v>
      </c>
      <c r="F64" s="163">
        <f>F9+(4/0.017)*(F10*F50-F25*F51)</f>
        <v>-2.0683145065491546</v>
      </c>
    </row>
    <row r="65" spans="1:6" ht="12.75">
      <c r="A65" s="163" t="s">
        <v>158</v>
      </c>
      <c r="B65" s="163">
        <f>B10+(5/0.017)*(B11*B50-B26*B51)</f>
        <v>-0.024459069674905354</v>
      </c>
      <c r="C65" s="163">
        <f>C10+(5/0.017)*(C11*C50-C26*C51)</f>
        <v>0.18702430178064566</v>
      </c>
      <c r="D65" s="163">
        <f>D10+(5/0.017)*(D11*D50-D26*D51)</f>
        <v>-0.24295078421931776</v>
      </c>
      <c r="E65" s="163">
        <f>E10+(5/0.017)*(E11*E50-E26*E51)</f>
        <v>-0.18932203039708909</v>
      </c>
      <c r="F65" s="163">
        <f>F10+(5/0.017)*(F11*F50-F26*F51)</f>
        <v>-1.1917129054937758</v>
      </c>
    </row>
    <row r="66" spans="1:6" ht="12.75">
      <c r="A66" s="163" t="s">
        <v>159</v>
      </c>
      <c r="B66" s="163">
        <f>B11+(6/0.017)*(B12*B50-B27*B51)</f>
        <v>4.444316074484727</v>
      </c>
      <c r="C66" s="163">
        <f>C11+(6/0.017)*(C12*C50-C27*C51)</f>
        <v>4.620789223126615</v>
      </c>
      <c r="D66" s="163">
        <f>D11+(6/0.017)*(D12*D50-D27*D51)</f>
        <v>4.5180057660025765</v>
      </c>
      <c r="E66" s="163">
        <f>E11+(6/0.017)*(E12*E50-E27*E51)</f>
        <v>4.809179438818344</v>
      </c>
      <c r="F66" s="163">
        <f>F11+(6/0.017)*(F12*F50-F27*F51)</f>
        <v>14.994520276591533</v>
      </c>
    </row>
    <row r="67" spans="1:6" ht="12.75">
      <c r="A67" s="163" t="s">
        <v>160</v>
      </c>
      <c r="B67" s="163">
        <f>B12+(7/0.017)*(B13*B50-B28*B51)</f>
        <v>0.12307129314987958</v>
      </c>
      <c r="C67" s="163">
        <f>C12+(7/0.017)*(C13*C50-C28*C51)</f>
        <v>-0.11472275772775048</v>
      </c>
      <c r="D67" s="163">
        <f>D12+(7/0.017)*(D13*D50-D28*D51)</f>
        <v>-0.14301438851939716</v>
      </c>
      <c r="E67" s="163">
        <f>E12+(7/0.017)*(E13*E50-E28*E51)</f>
        <v>0.17530413076770843</v>
      </c>
      <c r="F67" s="163">
        <f>F12+(7/0.017)*(F13*F50-F28*F51)</f>
        <v>-0.16758703414192017</v>
      </c>
    </row>
    <row r="68" spans="1:6" ht="12.75">
      <c r="A68" s="163" t="s">
        <v>161</v>
      </c>
      <c r="B68" s="163">
        <f>B13+(8/0.017)*(B14*B50-B29*B51)</f>
        <v>0.050606395373669365</v>
      </c>
      <c r="C68" s="163">
        <f>C13+(8/0.017)*(C14*C50-C29*C51)</f>
        <v>0.20402851110414352</v>
      </c>
      <c r="D68" s="163">
        <f>D13+(8/0.017)*(D14*D50-D29*D51)</f>
        <v>0.15812894338353806</v>
      </c>
      <c r="E68" s="163">
        <f>E13+(8/0.017)*(E14*E50-E29*E51)</f>
        <v>0.020204566996524093</v>
      </c>
      <c r="F68" s="163">
        <f>F13+(8/0.017)*(F14*F50-F29*F51)</f>
        <v>-0.16885864740320206</v>
      </c>
    </row>
    <row r="69" spans="1:6" ht="12.75">
      <c r="A69" s="163" t="s">
        <v>162</v>
      </c>
      <c r="B69" s="163">
        <f>B14+(9/0.017)*(B15*B50-B30*B51)</f>
        <v>-0.0036993618392762804</v>
      </c>
      <c r="C69" s="163">
        <f>C14+(9/0.017)*(C15*C50-C30*C51)</f>
        <v>-0.036632050133206376</v>
      </c>
      <c r="D69" s="163">
        <f>D14+(9/0.017)*(D15*D50-D30*D51)</f>
        <v>-0.029081302151157666</v>
      </c>
      <c r="E69" s="163">
        <f>E14+(9/0.017)*(E15*E50-E30*E51)</f>
        <v>0.018947330259948936</v>
      </c>
      <c r="F69" s="163">
        <f>F14+(9/0.017)*(F15*F50-F30*F51)</f>
        <v>-0.1241190835066138</v>
      </c>
    </row>
    <row r="70" spans="1:6" ht="12.75">
      <c r="A70" s="163" t="s">
        <v>163</v>
      </c>
      <c r="B70" s="163">
        <f>B15+(10/0.017)*(B16*B50-B31*B51)</f>
        <v>-0.3688905941313903</v>
      </c>
      <c r="C70" s="163">
        <f>C15+(10/0.017)*(C16*C50-C31*C51)</f>
        <v>-0.10511576742608375</v>
      </c>
      <c r="D70" s="163">
        <f>D15+(10/0.017)*(D16*D50-D31*D51)</f>
        <v>-0.0837243698713171</v>
      </c>
      <c r="E70" s="163">
        <f>E15+(10/0.017)*(E16*E50-E31*E51)</f>
        <v>-0.06175144678372354</v>
      </c>
      <c r="F70" s="163">
        <f>F15+(10/0.017)*(F16*F50-F31*F51)</f>
        <v>-0.3213459401419116</v>
      </c>
    </row>
    <row r="71" spans="1:6" ht="12.75">
      <c r="A71" s="163" t="s">
        <v>164</v>
      </c>
      <c r="B71" s="163">
        <f>B16+(11/0.017)*(B17*B50-B32*B51)</f>
        <v>-0.017897267723596413</v>
      </c>
      <c r="C71" s="163">
        <f>C16+(11/0.017)*(C17*C50-C32*C51)</f>
        <v>0.018039908878472066</v>
      </c>
      <c r="D71" s="163">
        <f>D16+(11/0.017)*(D17*D50-D32*D51)</f>
        <v>0.0013747150987213673</v>
      </c>
      <c r="E71" s="163">
        <f>E16+(11/0.017)*(E17*E50-E32*E51)</f>
        <v>0.020234117215133896</v>
      </c>
      <c r="F71" s="163">
        <f>F16+(11/0.017)*(F17*F50-F32*F51)</f>
        <v>0.01102443408192383</v>
      </c>
    </row>
    <row r="72" spans="1:6" ht="12.75">
      <c r="A72" s="163" t="s">
        <v>165</v>
      </c>
      <c r="B72" s="163">
        <f>B17+(12/0.017)*(B18*B50-B33*B51)</f>
        <v>-0.01245393490556528</v>
      </c>
      <c r="C72" s="163">
        <f>C17+(12/0.017)*(C18*C50-C33*C51)</f>
        <v>-0.0029491331366240446</v>
      </c>
      <c r="D72" s="163">
        <f>D17+(12/0.017)*(D18*D50-D33*D51)</f>
        <v>0.002590632911735196</v>
      </c>
      <c r="E72" s="163">
        <f>E17+(12/0.017)*(E18*E50-E33*E51)</f>
        <v>-0.004702390226120373</v>
      </c>
      <c r="F72" s="163">
        <f>F17+(12/0.017)*(F18*F50-F33*F51)</f>
        <v>-0.017080693016503088</v>
      </c>
    </row>
    <row r="73" spans="1:6" ht="12.75">
      <c r="A73" s="163" t="s">
        <v>166</v>
      </c>
      <c r="B73" s="163">
        <f>B18+(13/0.017)*(B19*B50-B34*B51)</f>
        <v>0.03231382971631365</v>
      </c>
      <c r="C73" s="163">
        <f>C18+(13/0.017)*(C19*C50-C34*C51)</f>
        <v>0.039696072727569566</v>
      </c>
      <c r="D73" s="163">
        <f>D18+(13/0.017)*(D19*D50-D34*D51)</f>
        <v>0.0293729346727346</v>
      </c>
      <c r="E73" s="163">
        <f>E18+(13/0.017)*(E19*E50-E34*E51)</f>
        <v>0.03151407868127755</v>
      </c>
      <c r="F73" s="163">
        <f>F18+(13/0.017)*(F19*F50-F34*F51)</f>
        <v>-0.0028243132522569533</v>
      </c>
    </row>
    <row r="74" spans="1:6" ht="12.75">
      <c r="A74" s="163" t="s">
        <v>167</v>
      </c>
      <c r="B74" s="163">
        <f>B19+(14/0.017)*(B20*B50-B35*B51)</f>
        <v>-0.17304114471722973</v>
      </c>
      <c r="C74" s="163">
        <f>C19+(14/0.017)*(C20*C50-C35*C51)</f>
        <v>-0.1629099077584608</v>
      </c>
      <c r="D74" s="163">
        <f>D19+(14/0.017)*(D20*D50-D35*D51)</f>
        <v>-0.16091227540560438</v>
      </c>
      <c r="E74" s="163">
        <f>E19+(14/0.017)*(E20*E50-E35*E51)</f>
        <v>-0.16172737588413325</v>
      </c>
      <c r="F74" s="163">
        <f>F19+(14/0.017)*(F20*F50-F35*F51)</f>
        <v>-0.1323004580024533</v>
      </c>
    </row>
    <row r="75" spans="1:6" ht="12.75">
      <c r="A75" s="163" t="s">
        <v>168</v>
      </c>
      <c r="B75" s="164">
        <f>B20</f>
        <v>-0.001308586</v>
      </c>
      <c r="C75" s="164">
        <f>C20</f>
        <v>-0.0001873884</v>
      </c>
      <c r="D75" s="164">
        <f>D20</f>
        <v>0.004362243</v>
      </c>
      <c r="E75" s="164">
        <f>E20</f>
        <v>-1.117595E-05</v>
      </c>
      <c r="F75" s="164">
        <f>F20</f>
        <v>0.008466067</v>
      </c>
    </row>
    <row r="78" ht="12.75">
      <c r="A78" s="163" t="s">
        <v>150</v>
      </c>
    </row>
    <row r="80" spans="2:6" ht="12.75">
      <c r="B80" s="163" t="s">
        <v>83</v>
      </c>
      <c r="C80" s="163" t="s">
        <v>84</v>
      </c>
      <c r="D80" s="163" t="s">
        <v>85</v>
      </c>
      <c r="E80" s="163" t="s">
        <v>86</v>
      </c>
      <c r="F80" s="163" t="s">
        <v>87</v>
      </c>
    </row>
    <row r="81" spans="1:6" ht="12.75">
      <c r="A81" s="163" t="s">
        <v>169</v>
      </c>
      <c r="B81" s="163">
        <f>B21+(1/0.017)*(B7*B51+B22*B50)</f>
        <v>0</v>
      </c>
      <c r="C81" s="163">
        <f>C21+(1/0.017)*(C7*C51+C22*C50)</f>
        <v>0</v>
      </c>
      <c r="D81" s="163">
        <f>D21+(1/0.017)*(D7*D51+D22*D50)</f>
        <v>0</v>
      </c>
      <c r="E81" s="163">
        <f>E21+(1/0.017)*(E7*E51+E22*E50)</f>
        <v>0</v>
      </c>
      <c r="F81" s="163">
        <f>F21+(1/0.017)*(F7*F51+F22*F50)</f>
        <v>0</v>
      </c>
    </row>
    <row r="82" spans="1:6" ht="12.75">
      <c r="A82" s="163" t="s">
        <v>170</v>
      </c>
      <c r="B82" s="163">
        <f>B22+(2/0.017)*(B8*B51+B23*B50)</f>
        <v>171.14205337653016</v>
      </c>
      <c r="C82" s="163">
        <f>C22+(2/0.017)*(C8*C51+C23*C50)</f>
        <v>89.04770032563216</v>
      </c>
      <c r="D82" s="163">
        <f>D22+(2/0.017)*(D8*D51+D23*D50)</f>
        <v>-10.528639973606296</v>
      </c>
      <c r="E82" s="163">
        <f>E22+(2/0.017)*(E8*E51+E23*E50)</f>
        <v>-83.97392431025875</v>
      </c>
      <c r="F82" s="163">
        <f>F22+(2/0.017)*(F8*F51+F23*F50)</f>
        <v>-174.18586574740135</v>
      </c>
    </row>
    <row r="83" spans="1:6" ht="12.75">
      <c r="A83" s="163" t="s">
        <v>171</v>
      </c>
      <c r="B83" s="163">
        <f>B23+(3/0.017)*(B9*B51+B24*B50)</f>
        <v>-2.207262542761333</v>
      </c>
      <c r="C83" s="163">
        <f>C23+(3/0.017)*(C9*C51+C24*C50)</f>
        <v>2.341164738629098</v>
      </c>
      <c r="D83" s="163">
        <f>D23+(3/0.017)*(D9*D51+D24*D50)</f>
        <v>4.027612016976335</v>
      </c>
      <c r="E83" s="163">
        <f>E23+(3/0.017)*(E9*E51+E24*E50)</f>
        <v>1.2224510082598457</v>
      </c>
      <c r="F83" s="163">
        <f>F23+(3/0.017)*(F9*F51+F24*F50)</f>
        <v>7.09492823554415</v>
      </c>
    </row>
    <row r="84" spans="1:6" ht="12.75">
      <c r="A84" s="163" t="s">
        <v>172</v>
      </c>
      <c r="B84" s="163">
        <f>B24+(4/0.017)*(B10*B51+B25*B50)</f>
        <v>-2.391037552223748</v>
      </c>
      <c r="C84" s="163">
        <f>C24+(4/0.017)*(C10*C51+C25*C50)</f>
        <v>-2.225667665281897</v>
      </c>
      <c r="D84" s="163">
        <f>D24+(4/0.017)*(D10*D51+D25*D50)</f>
        <v>0.1917825960297923</v>
      </c>
      <c r="E84" s="163">
        <f>E24+(4/0.017)*(E10*E51+E25*E50)</f>
        <v>-0.7782304946582984</v>
      </c>
      <c r="F84" s="163">
        <f>F24+(4/0.017)*(F10*F51+F25*F50)</f>
        <v>2.0151360632439466</v>
      </c>
    </row>
    <row r="85" spans="1:6" ht="12.75">
      <c r="A85" s="163" t="s">
        <v>173</v>
      </c>
      <c r="B85" s="163">
        <f>B25+(5/0.017)*(B11*B51+B26*B50)</f>
        <v>0.0562769894521552</v>
      </c>
      <c r="C85" s="163">
        <f>C25+(5/0.017)*(C11*C51+C26*C50)</f>
        <v>1.028943107094533</v>
      </c>
      <c r="D85" s="163">
        <f>D25+(5/0.017)*(D11*D51+D26*D50)</f>
        <v>1.2773257238297233</v>
      </c>
      <c r="E85" s="163">
        <f>E25+(5/0.017)*(E11*E51+E26*E50)</f>
        <v>0.7523112333394748</v>
      </c>
      <c r="F85" s="163">
        <f>F25+(5/0.017)*(F11*F51+F26*F50)</f>
        <v>-0.32287940860707565</v>
      </c>
    </row>
    <row r="86" spans="1:6" ht="12.75">
      <c r="A86" s="163" t="s">
        <v>174</v>
      </c>
      <c r="B86" s="163">
        <f>B26+(6/0.017)*(B12*B51+B27*B50)</f>
        <v>1.7229154506689144</v>
      </c>
      <c r="C86" s="163">
        <f>C26+(6/0.017)*(C12*C51+C27*C50)</f>
        <v>0.39257214935016116</v>
      </c>
      <c r="D86" s="163">
        <f>D26+(6/0.017)*(D12*D51+D27*D50)</f>
        <v>0.47417324543937783</v>
      </c>
      <c r="E86" s="163">
        <f>E26+(6/0.017)*(E12*E51+E27*E50)</f>
        <v>0.0919310742376869</v>
      </c>
      <c r="F86" s="163">
        <f>F26+(6/0.017)*(F12*F51+F27*F50)</f>
        <v>0.6269498612487804</v>
      </c>
    </row>
    <row r="87" spans="1:6" ht="12.75">
      <c r="A87" s="163" t="s">
        <v>175</v>
      </c>
      <c r="B87" s="163">
        <f>B27+(7/0.017)*(B13*B51+B28*B50)</f>
        <v>-0.0263483600102468</v>
      </c>
      <c r="C87" s="163">
        <f>C27+(7/0.017)*(C13*C51+C28*C50)</f>
        <v>-0.33883342580169806</v>
      </c>
      <c r="D87" s="163">
        <f>D27+(7/0.017)*(D13*D51+D28*D50)</f>
        <v>-0.20805629551397878</v>
      </c>
      <c r="E87" s="163">
        <f>E27+(7/0.017)*(E13*E51+E28*E50)</f>
        <v>-0.22489415203747035</v>
      </c>
      <c r="F87" s="163">
        <f>F27+(7/0.017)*(F13*F51+F28*F50)</f>
        <v>0.36612565714390044</v>
      </c>
    </row>
    <row r="88" spans="1:6" ht="12.75">
      <c r="A88" s="163" t="s">
        <v>176</v>
      </c>
      <c r="B88" s="163">
        <f>B28+(8/0.017)*(B14*B51+B29*B50)</f>
        <v>-0.20142801395893206</v>
      </c>
      <c r="C88" s="163">
        <f>C28+(8/0.017)*(C14*C51+C29*C50)</f>
        <v>-0.2500972565069285</v>
      </c>
      <c r="D88" s="163">
        <f>D28+(8/0.017)*(D14*D51+D29*D50)</f>
        <v>0.038386679019234975</v>
      </c>
      <c r="E88" s="163">
        <f>E28+(8/0.017)*(E14*E51+E29*E50)</f>
        <v>0.13818406219840812</v>
      </c>
      <c r="F88" s="163">
        <f>F28+(8/0.017)*(F14*F51+F29*F50)</f>
        <v>0.2256393884856815</v>
      </c>
    </row>
    <row r="89" spans="1:6" ht="12.75">
      <c r="A89" s="163" t="s">
        <v>177</v>
      </c>
      <c r="B89" s="163">
        <f>B29+(9/0.017)*(B15*B51+B30*B50)</f>
        <v>-0.027807971483019778</v>
      </c>
      <c r="C89" s="163">
        <f>C29+(9/0.017)*(C15*C51+C30*C50)</f>
        <v>0.09345163120756057</v>
      </c>
      <c r="D89" s="163">
        <f>D29+(9/0.017)*(D15*D51+D30*D50)</f>
        <v>0.05502636766905199</v>
      </c>
      <c r="E89" s="163">
        <f>E29+(9/0.017)*(E15*E51+E30*E50)</f>
        <v>0.09544487801777043</v>
      </c>
      <c r="F89" s="163">
        <f>F29+(9/0.017)*(F15*F51+F30*F50)</f>
        <v>0.08791577282420786</v>
      </c>
    </row>
    <row r="90" spans="1:6" ht="12.75">
      <c r="A90" s="163" t="s">
        <v>178</v>
      </c>
      <c r="B90" s="163">
        <f>B30+(10/0.017)*(B16*B51+B31*B50)</f>
        <v>0.10559127218955328</v>
      </c>
      <c r="C90" s="163">
        <f>C30+(10/0.017)*(C16*C51+C31*C50)</f>
        <v>0.05451182650294381</v>
      </c>
      <c r="D90" s="163">
        <f>D30+(10/0.017)*(D16*D51+D31*D50)</f>
        <v>0.06513888282305814</v>
      </c>
      <c r="E90" s="163">
        <f>E30+(10/0.017)*(E16*E51+E31*E50)</f>
        <v>0.07050203489561002</v>
      </c>
      <c r="F90" s="163">
        <f>F30+(10/0.017)*(F16*F51+F31*F50)</f>
        <v>0.2493560545302196</v>
      </c>
    </row>
    <row r="91" spans="1:6" ht="12.75">
      <c r="A91" s="163" t="s">
        <v>179</v>
      </c>
      <c r="B91" s="163">
        <f>B31+(11/0.017)*(B17*B51+B32*B50)</f>
        <v>0.014195495865794574</v>
      </c>
      <c r="C91" s="163">
        <f>C31+(11/0.017)*(C17*C51+C32*C50)</f>
        <v>-0.023567808478567126</v>
      </c>
      <c r="D91" s="163">
        <f>D31+(11/0.017)*(D17*D51+D32*D50)</f>
        <v>-0.03546995136675724</v>
      </c>
      <c r="E91" s="163">
        <f>E31+(11/0.017)*(E17*E51+E32*E50)</f>
        <v>-0.007415477089004582</v>
      </c>
      <c r="F91" s="163">
        <f>F31+(11/0.017)*(F17*F51+F32*F50)</f>
        <v>0.045216797117289396</v>
      </c>
    </row>
    <row r="92" spans="1:6" ht="12.75">
      <c r="A92" s="163" t="s">
        <v>180</v>
      </c>
      <c r="B92" s="163">
        <f>B32+(12/0.017)*(B18*B51+B33*B50)</f>
        <v>0.006778431057202026</v>
      </c>
      <c r="C92" s="163">
        <f>C32+(12/0.017)*(C18*C51+C33*C50)</f>
        <v>-0.01587335294366404</v>
      </c>
      <c r="D92" s="163">
        <f>D32+(12/0.017)*(D18*D51+D33*D50)</f>
        <v>-0.0040377022577455235</v>
      </c>
      <c r="E92" s="163">
        <f>E32+(12/0.017)*(E18*E51+E33*E50)</f>
        <v>0.03179904668949688</v>
      </c>
      <c r="F92" s="163">
        <f>F32+(12/0.017)*(F18*F51+F33*F50)</f>
        <v>0.03307215131064032</v>
      </c>
    </row>
    <row r="93" spans="1:6" ht="12.75">
      <c r="A93" s="163" t="s">
        <v>181</v>
      </c>
      <c r="B93" s="163">
        <f>B33+(13/0.017)*(B19*B51+B34*B50)</f>
        <v>0.052440161080984454</v>
      </c>
      <c r="C93" s="163">
        <f>C33+(13/0.017)*(C19*C51+C34*C50)</f>
        <v>0.029802620263900143</v>
      </c>
      <c r="D93" s="163">
        <f>D33+(13/0.017)*(D19*D51+D34*D50)</f>
        <v>0.018961900563606526</v>
      </c>
      <c r="E93" s="163">
        <f>E33+(13/0.017)*(E19*E51+E34*E50)</f>
        <v>0.036881936535542476</v>
      </c>
      <c r="F93" s="163">
        <f>F33+(13/0.017)*(F19*F51+F34*F50)</f>
        <v>0.02671586748287602</v>
      </c>
    </row>
    <row r="94" spans="1:6" ht="12.75">
      <c r="A94" s="163" t="s">
        <v>182</v>
      </c>
      <c r="B94" s="163">
        <f>B34+(14/0.017)*(B20*B51+B35*B50)</f>
        <v>0.0014806490223125204</v>
      </c>
      <c r="C94" s="163">
        <f>C34+(14/0.017)*(C20*C51+C35*C50)</f>
        <v>0.011413991979923774</v>
      </c>
      <c r="D94" s="163">
        <f>D34+(14/0.017)*(D20*D51+D35*D50)</f>
        <v>0.014867995423508537</v>
      </c>
      <c r="E94" s="163">
        <f>E34+(14/0.017)*(E20*E51+E35*E50)</f>
        <v>0.025249009568384263</v>
      </c>
      <c r="F94" s="163">
        <f>F34+(14/0.017)*(F20*F51+F35*F50)</f>
        <v>-0.01092006101841539</v>
      </c>
    </row>
    <row r="95" spans="1:6" ht="12.75">
      <c r="A95" s="163" t="s">
        <v>183</v>
      </c>
      <c r="B95" s="164">
        <f>B35</f>
        <v>-0.003371031</v>
      </c>
      <c r="C95" s="164">
        <f>C35</f>
        <v>0.005286626</v>
      </c>
      <c r="D95" s="164">
        <f>D35</f>
        <v>0.00383931</v>
      </c>
      <c r="E95" s="164">
        <f>E35</f>
        <v>0.003491811</v>
      </c>
      <c r="F95" s="164">
        <f>F35</f>
        <v>0.002396865</v>
      </c>
    </row>
    <row r="98" ht="12.75">
      <c r="A98" s="163" t="s">
        <v>151</v>
      </c>
    </row>
    <row r="100" spans="2:11" ht="12.75">
      <c r="B100" s="163" t="s">
        <v>83</v>
      </c>
      <c r="C100" s="163" t="s">
        <v>84</v>
      </c>
      <c r="D100" s="163" t="s">
        <v>85</v>
      </c>
      <c r="E100" s="163" t="s">
        <v>86</v>
      </c>
      <c r="F100" s="163" t="s">
        <v>87</v>
      </c>
      <c r="G100" s="163" t="s">
        <v>153</v>
      </c>
      <c r="H100" s="163" t="s">
        <v>154</v>
      </c>
      <c r="I100" s="163" t="s">
        <v>149</v>
      </c>
      <c r="K100" s="163" t="s">
        <v>184</v>
      </c>
    </row>
    <row r="101" spans="1:9" ht="12.75">
      <c r="A101" s="163" t="s">
        <v>152</v>
      </c>
      <c r="B101" s="163">
        <f>B61*10000/B62</f>
        <v>0</v>
      </c>
      <c r="C101" s="163">
        <f>C61*10000/C62</f>
        <v>0</v>
      </c>
      <c r="D101" s="163">
        <f>D61*10000/D62</f>
        <v>0</v>
      </c>
      <c r="E101" s="163">
        <f>E61*10000/E62</f>
        <v>0</v>
      </c>
      <c r="F101" s="163">
        <f>F61*10000/F62</f>
        <v>0</v>
      </c>
      <c r="G101" s="163">
        <f>AVERAGE(C101:E101)</f>
        <v>0</v>
      </c>
      <c r="H101" s="163">
        <f>STDEV(C101:E101)</f>
        <v>0</v>
      </c>
      <c r="I101" s="163">
        <f>(B101*B4+C101*C4+D101*D4+E101*E4+F101*F4)/SUM(B4:F4)</f>
        <v>0</v>
      </c>
    </row>
    <row r="102" spans="1:9" ht="12.75">
      <c r="A102" s="163" t="s">
        <v>155</v>
      </c>
      <c r="B102" s="163">
        <f>B62*10000/B62</f>
        <v>10000</v>
      </c>
      <c r="C102" s="163">
        <f>C62*10000/C62</f>
        <v>10000</v>
      </c>
      <c r="D102" s="163">
        <f>D62*10000/D62</f>
        <v>10000</v>
      </c>
      <c r="E102" s="163">
        <f>E62*10000/E62</f>
        <v>10000</v>
      </c>
      <c r="F102" s="163">
        <f>F62*10000/F62</f>
        <v>10000</v>
      </c>
      <c r="G102" s="163">
        <f>AVERAGE(C102:E102)</f>
        <v>10000</v>
      </c>
      <c r="H102" s="163">
        <f>STDEV(C102:E102)</f>
        <v>0</v>
      </c>
      <c r="I102" s="163">
        <f>(B102*B4+C102*C4+D102*D4+E102*E4+F102*F4)/SUM(B4:F4)</f>
        <v>10000.000000000002</v>
      </c>
    </row>
    <row r="103" spans="1:11" ht="12.75">
      <c r="A103" s="163" t="s">
        <v>156</v>
      </c>
      <c r="B103" s="163">
        <f>B63*10000/B62</f>
        <v>3.5497180723739756</v>
      </c>
      <c r="C103" s="163">
        <f>C63*10000/C62</f>
        <v>-1.1010292430673156</v>
      </c>
      <c r="D103" s="163">
        <f>D63*10000/D62</f>
        <v>1.0029954900734939</v>
      </c>
      <c r="E103" s="163">
        <f>E63*10000/E62</f>
        <v>1.9220899281653534</v>
      </c>
      <c r="F103" s="163">
        <f>F63*10000/F62</f>
        <v>-2.4093204372357335</v>
      </c>
      <c r="G103" s="163">
        <f>AVERAGE(C103:E103)</f>
        <v>0.6080187250571772</v>
      </c>
      <c r="H103" s="163">
        <f>STDEV(C103:E103)</f>
        <v>1.5497797793705048</v>
      </c>
      <c r="I103" s="163">
        <f>(B103*B4+C103*C4+D103*D4+E103*E4+F103*F4)/SUM(B4:F4)</f>
        <v>0.6305651991898223</v>
      </c>
      <c r="K103" s="163">
        <f>(LN(H103)+LN(H123))/2-LN(K114*K115^3)</f>
        <v>-3.486957777717559</v>
      </c>
    </row>
    <row r="104" spans="1:11" ht="12.75">
      <c r="A104" s="163" t="s">
        <v>157</v>
      </c>
      <c r="B104" s="163">
        <f>B64*10000/B62</f>
        <v>0.7247930400646352</v>
      </c>
      <c r="C104" s="163">
        <f>C64*10000/C62</f>
        <v>0.43613642327621643</v>
      </c>
      <c r="D104" s="163">
        <f>D64*10000/D62</f>
        <v>0.5916562800057504</v>
      </c>
      <c r="E104" s="163">
        <f>E64*10000/E62</f>
        <v>-0.37813339755135555</v>
      </c>
      <c r="F104" s="163">
        <f>F64*10000/F62</f>
        <v>-2.0683728328054456</v>
      </c>
      <c r="G104" s="163">
        <f>AVERAGE(C104:E104)</f>
        <v>0.2165531019102038</v>
      </c>
      <c r="H104" s="163">
        <f>STDEV(C104:E104)</f>
        <v>0.5208508720744126</v>
      </c>
      <c r="I104" s="163">
        <f>(B104*B4+C104*C4+D104*D4+E104*E4+F104*F4)/SUM(B4:F4)</f>
        <v>-0.0151229573404371</v>
      </c>
      <c r="K104" s="163">
        <f>(LN(H104)+LN(H124))/2-LN(K114*K115^4)</f>
        <v>-3.5153752891413577</v>
      </c>
    </row>
    <row r="105" spans="1:11" ht="12.75">
      <c r="A105" s="163" t="s">
        <v>158</v>
      </c>
      <c r="B105" s="163">
        <f>B65*10000/B62</f>
        <v>-0.024459015302903942</v>
      </c>
      <c r="C105" s="163">
        <f>C65*10000/C62</f>
        <v>0.18702289397407434</v>
      </c>
      <c r="D105" s="163">
        <f>D65*10000/D62</f>
        <v>-0.24294730754566066</v>
      </c>
      <c r="E105" s="163">
        <f>E65*10000/E62</f>
        <v>-0.18932247243077274</v>
      </c>
      <c r="F105" s="163">
        <f>F65*10000/F62</f>
        <v>-1.1917465116751043</v>
      </c>
      <c r="G105" s="163">
        <f>AVERAGE(C105:E105)</f>
        <v>-0.08174896200078635</v>
      </c>
      <c r="H105" s="163">
        <f>STDEV(C105:E105)</f>
        <v>0.23430245124283947</v>
      </c>
      <c r="I105" s="163">
        <f>(B105*B4+C105*C4+D105*D4+E105*E4+F105*F4)/SUM(B4:F4)</f>
        <v>-0.22172625516933742</v>
      </c>
      <c r="K105" s="163">
        <f>(LN(H105)+LN(H125))/2-LN(K114*K115^5)</f>
        <v>-4.090012239524926</v>
      </c>
    </row>
    <row r="106" spans="1:11" ht="12.75">
      <c r="A106" s="163" t="s">
        <v>159</v>
      </c>
      <c r="B106" s="163">
        <f>B66*10000/B62</f>
        <v>4.4443061948628495</v>
      </c>
      <c r="C106" s="163">
        <f>C66*10000/C62</f>
        <v>4.6207544406017185</v>
      </c>
      <c r="D106" s="163">
        <f>D66*10000/D62</f>
        <v>4.517941112448648</v>
      </c>
      <c r="E106" s="163">
        <f>E66*10000/E62</f>
        <v>4.809190667407527</v>
      </c>
      <c r="F106" s="163">
        <f>F66*10000/F62</f>
        <v>14.994943120520658</v>
      </c>
      <c r="G106" s="163">
        <f>AVERAGE(C106:E106)</f>
        <v>4.649295406819298</v>
      </c>
      <c r="H106" s="163">
        <f>STDEV(C106:E106)</f>
        <v>0.1477075349480231</v>
      </c>
      <c r="I106" s="163">
        <f>(B106*B4+C106*C4+D106*D4+E106*E4+F106*F4)/SUM(B4:F4)</f>
        <v>6.001536881571621</v>
      </c>
      <c r="K106" s="163">
        <f>(LN(H106)+LN(H126))/2-LN(K114*K115^6)</f>
        <v>-3.8623366740776244</v>
      </c>
    </row>
    <row r="107" spans="1:11" ht="12.75">
      <c r="A107" s="163" t="s">
        <v>160</v>
      </c>
      <c r="B107" s="163">
        <f>B67*10000/B62</f>
        <v>0.12307101956496348</v>
      </c>
      <c r="C107" s="163">
        <f>C67*10000/C62</f>
        <v>-0.11472189416376082</v>
      </c>
      <c r="D107" s="163">
        <f>D67*10000/D62</f>
        <v>-0.14301234195528026</v>
      </c>
      <c r="E107" s="163">
        <f>E67*10000/E62</f>
        <v>0.1753045400720589</v>
      </c>
      <c r="F107" s="163">
        <f>F67*10000/F62</f>
        <v>-0.16759176007904117</v>
      </c>
      <c r="G107" s="163">
        <f>AVERAGE(C107:E107)</f>
        <v>-0.027476565348994054</v>
      </c>
      <c r="H107" s="163">
        <f>STDEV(C107:E107)</f>
        <v>0.17618234842315877</v>
      </c>
      <c r="I107" s="163">
        <f>(B107*B4+C107*C4+D107*D4+E107*E4+F107*F4)/SUM(B4:F4)</f>
        <v>-0.024412154714939006</v>
      </c>
      <c r="K107" s="163">
        <f>(LN(H107)+LN(H127))/2-LN(K114*K115^7)</f>
        <v>-3.7029494323729146</v>
      </c>
    </row>
    <row r="108" spans="1:9" ht="12.75">
      <c r="A108" s="163" t="s">
        <v>161</v>
      </c>
      <c r="B108" s="163">
        <f>B68*10000/B62</f>
        <v>0.05060628287670864</v>
      </c>
      <c r="C108" s="163">
        <f>C68*10000/C62</f>
        <v>0.20402697530010128</v>
      </c>
      <c r="D108" s="163">
        <f>D68*10000/D62</f>
        <v>0.15812668052715892</v>
      </c>
      <c r="E108" s="163">
        <f>E68*10000/E62</f>
        <v>0.020204614170638787</v>
      </c>
      <c r="F108" s="163">
        <f>F68*10000/F62</f>
        <v>-0.1688634091996862</v>
      </c>
      <c r="G108" s="163">
        <f>AVERAGE(C108:E108)</f>
        <v>0.12745275666596634</v>
      </c>
      <c r="H108" s="163">
        <f>STDEV(C108:E108)</f>
        <v>0.09567304906076896</v>
      </c>
      <c r="I108" s="163">
        <f>(B108*B4+C108*C4+D108*D4+E108*E4+F108*F4)/SUM(B4:F4)</f>
        <v>0.07675544122828976</v>
      </c>
    </row>
    <row r="109" spans="1:9" ht="12.75">
      <c r="A109" s="163" t="s">
        <v>162</v>
      </c>
      <c r="B109" s="163">
        <f>B69*10000/B62</f>
        <v>-0.00369935361567212</v>
      </c>
      <c r="C109" s="163">
        <f>C69*10000/C62</f>
        <v>-0.03663177438914313</v>
      </c>
      <c r="D109" s="163">
        <f>D69*10000/D62</f>
        <v>-0.029080885991986053</v>
      </c>
      <c r="E109" s="163">
        <f>E69*10000/E62</f>
        <v>0.0189473744986367</v>
      </c>
      <c r="F109" s="163">
        <f>F69*10000/F62</f>
        <v>-0.12412258365199898</v>
      </c>
      <c r="G109" s="163">
        <f>AVERAGE(C109:E109)</f>
        <v>-0.015588428627497495</v>
      </c>
      <c r="H109" s="163">
        <f>STDEV(C109:E109)</f>
        <v>0.030146231142083178</v>
      </c>
      <c r="I109" s="163">
        <f>(B109*B4+C109*C4+D109*D4+E109*E4+F109*F4)/SUM(B4:F4)</f>
        <v>-0.028365630565609125</v>
      </c>
    </row>
    <row r="110" spans="1:11" ht="12.75">
      <c r="A110" s="163" t="s">
        <v>163</v>
      </c>
      <c r="B110" s="163">
        <f>B70*10000/B62</f>
        <v>-0.36888977409529855</v>
      </c>
      <c r="C110" s="163">
        <f>C70*10000/C62</f>
        <v>-0.10511497617774476</v>
      </c>
      <c r="D110" s="163">
        <f>D70*10000/D62</f>
        <v>-0.08372317175906516</v>
      </c>
      <c r="E110" s="163">
        <f>E70*10000/E62</f>
        <v>-0.06175159096250419</v>
      </c>
      <c r="F110" s="163">
        <f>F70*10000/F62</f>
        <v>-0.3213550020643626</v>
      </c>
      <c r="G110" s="163">
        <f>AVERAGE(C110:E110)</f>
        <v>-0.08352991296643804</v>
      </c>
      <c r="H110" s="163">
        <f>STDEV(C110:E110)</f>
        <v>0.02168233857433349</v>
      </c>
      <c r="I110" s="163">
        <f>(B110*B4+C110*C4+D110*D4+E110*E4+F110*F4)/SUM(B4:F4)</f>
        <v>-0.15658042444058057</v>
      </c>
      <c r="K110" s="163">
        <f>EXP(AVERAGE(K103:K107))</f>
        <v>0.023956243921546296</v>
      </c>
    </row>
    <row r="111" spans="1:9" ht="12.75">
      <c r="A111" s="163" t="s">
        <v>164</v>
      </c>
      <c r="B111" s="163">
        <f>B71*10000/B62</f>
        <v>-0.017897227938343793</v>
      </c>
      <c r="C111" s="163">
        <f>C71*10000/C62</f>
        <v>0.018039773084877204</v>
      </c>
      <c r="D111" s="163">
        <f>D71*10000/D62</f>
        <v>0.0013746954262770692</v>
      </c>
      <c r="E111" s="163">
        <f>E71*10000/E62</f>
        <v>0.020234164458243158</v>
      </c>
      <c r="F111" s="163">
        <f>F71*10000/F62</f>
        <v>0.011024744969830717</v>
      </c>
      <c r="G111" s="163">
        <f>AVERAGE(C111:E111)</f>
        <v>0.013216210989799143</v>
      </c>
      <c r="H111" s="163">
        <f>STDEV(C111:E111)</f>
        <v>0.010313581167845018</v>
      </c>
      <c r="I111" s="163">
        <f>(B111*B4+C111*C4+D111*D4+E111*E4+F111*F4)/SUM(B4:F4)</f>
        <v>0.008422252111468704</v>
      </c>
    </row>
    <row r="112" spans="1:9" ht="12.75">
      <c r="A112" s="163" t="s">
        <v>165</v>
      </c>
      <c r="B112" s="163">
        <f>B72*10000/B62</f>
        <v>-0.012453907220727908</v>
      </c>
      <c r="C112" s="163">
        <f>C72*10000/C62</f>
        <v>-0.0029491109373217615</v>
      </c>
      <c r="D112" s="163">
        <f>D72*10000/D62</f>
        <v>0.002590595839267089</v>
      </c>
      <c r="E112" s="163">
        <f>E72*10000/E62</f>
        <v>-0.004702401205375503</v>
      </c>
      <c r="F112" s="163">
        <f>F72*10000/F62</f>
        <v>-0.017081174690288844</v>
      </c>
      <c r="G112" s="163">
        <f>AVERAGE(C112:E112)</f>
        <v>-0.0016869721011433917</v>
      </c>
      <c r="H112" s="163">
        <f>STDEV(C112:E112)</f>
        <v>0.003806796199513925</v>
      </c>
      <c r="I112" s="163">
        <f>(B112*B4+C112*C4+D112*D4+E112*E4+F112*F4)/SUM(B4:F4)</f>
        <v>-0.005300891937241674</v>
      </c>
    </row>
    <row r="113" spans="1:9" ht="12.75">
      <c r="A113" s="163" t="s">
        <v>166</v>
      </c>
      <c r="B113" s="163">
        <f>B73*10000/B62</f>
        <v>0.0323137578833446</v>
      </c>
      <c r="C113" s="163">
        <f>C73*10000/C62</f>
        <v>0.03969577391938523</v>
      </c>
      <c r="D113" s="163">
        <f>D73*10000/D62</f>
        <v>0.029372514340244064</v>
      </c>
      <c r="E113" s="163">
        <f>E73*10000/E62</f>
        <v>0.031514152261115334</v>
      </c>
      <c r="F113" s="163">
        <f>F73*10000/F62</f>
        <v>-0.002824392897600094</v>
      </c>
      <c r="G113" s="163">
        <f>AVERAGE(C113:E113)</f>
        <v>0.03352748017358154</v>
      </c>
      <c r="H113" s="163">
        <f>STDEV(C113:E113)</f>
        <v>0.00544816841212888</v>
      </c>
      <c r="I113" s="163">
        <f>(B113*B4+C113*C4+D113*D4+E113*E4+F113*F4)/SUM(B4:F4)</f>
        <v>0.028496265475520054</v>
      </c>
    </row>
    <row r="114" spans="1:11" ht="12.75">
      <c r="A114" s="163" t="s">
        <v>167</v>
      </c>
      <c r="B114" s="163">
        <f>B74*10000/B62</f>
        <v>-0.17304076005037652</v>
      </c>
      <c r="C114" s="163">
        <f>C74*10000/C62</f>
        <v>-0.16290868147055865</v>
      </c>
      <c r="D114" s="163">
        <f>D74*10000/D62</f>
        <v>-0.16090997271919483</v>
      </c>
      <c r="E114" s="163">
        <f>E74*10000/E62</f>
        <v>-0.16172775348914603</v>
      </c>
      <c r="F114" s="163">
        <f>F74*10000/F62</f>
        <v>-0.13230418886175754</v>
      </c>
      <c r="G114" s="163">
        <f>AVERAGE(C114:E114)</f>
        <v>-0.16184880255963316</v>
      </c>
      <c r="H114" s="163">
        <f>STDEV(C114:E114)</f>
        <v>0.001004837711419961</v>
      </c>
      <c r="I114" s="163">
        <f>(B114*B4+C114*C4+D114*D4+E114*E4+F114*F4)/SUM(B4:F4)</f>
        <v>-0.1595216054352763</v>
      </c>
      <c r="J114" s="163" t="s">
        <v>185</v>
      </c>
      <c r="K114" s="163">
        <v>285</v>
      </c>
    </row>
    <row r="115" spans="1:11" ht="12.75">
      <c r="A115" s="163" t="s">
        <v>168</v>
      </c>
      <c r="B115" s="163">
        <f>B75*10000/B62</f>
        <v>-0.001308583091040633</v>
      </c>
      <c r="C115" s="163">
        <f>C75*10000/C62</f>
        <v>-0.00018738698945271605</v>
      </c>
      <c r="D115" s="163">
        <f>D75*10000/D62</f>
        <v>0.004362180575441986</v>
      </c>
      <c r="E115" s="163">
        <f>E75*10000/E62</f>
        <v>-1.1175976093880021E-05</v>
      </c>
      <c r="F115" s="163">
        <f>F75*10000/F62</f>
        <v>0.00846630574221839</v>
      </c>
      <c r="G115" s="163">
        <f>AVERAGE(C115:E115)</f>
        <v>0.0013878725366317966</v>
      </c>
      <c r="H115" s="163">
        <f>STDEV(C115:E115)</f>
        <v>0.0025773326934265635</v>
      </c>
      <c r="I115" s="163">
        <f>(B115*B4+C115*C4+D115*D4+E115*E4+F115*F4)/SUM(B4:F4)</f>
        <v>0.0019432578252460237</v>
      </c>
      <c r="J115" s="163" t="s">
        <v>186</v>
      </c>
      <c r="K115" s="163">
        <v>0.5536</v>
      </c>
    </row>
    <row r="118" ht="12.75">
      <c r="A118" s="163" t="s">
        <v>151</v>
      </c>
    </row>
    <row r="120" spans="2:9" ht="12.75">
      <c r="B120" s="163" t="s">
        <v>83</v>
      </c>
      <c r="C120" s="163" t="s">
        <v>84</v>
      </c>
      <c r="D120" s="163" t="s">
        <v>85</v>
      </c>
      <c r="E120" s="163" t="s">
        <v>86</v>
      </c>
      <c r="F120" s="163" t="s">
        <v>87</v>
      </c>
      <c r="G120" s="163" t="s">
        <v>153</v>
      </c>
      <c r="H120" s="163" t="s">
        <v>154</v>
      </c>
      <c r="I120" s="163" t="s">
        <v>149</v>
      </c>
    </row>
    <row r="121" spans="1:9" ht="12.75">
      <c r="A121" s="163" t="s">
        <v>169</v>
      </c>
      <c r="B121" s="163">
        <f>B81*10000/B62</f>
        <v>0</v>
      </c>
      <c r="C121" s="163">
        <f>C81*10000/C62</f>
        <v>0</v>
      </c>
      <c r="D121" s="163">
        <f>D81*10000/D62</f>
        <v>0</v>
      </c>
      <c r="E121" s="163">
        <f>E81*10000/E62</f>
        <v>0</v>
      </c>
      <c r="F121" s="163">
        <f>F81*10000/F62</f>
        <v>0</v>
      </c>
      <c r="G121" s="163">
        <f>AVERAGE(C121:E121)</f>
        <v>0</v>
      </c>
      <c r="H121" s="163">
        <f>STDEV(C121:E121)</f>
        <v>0</v>
      </c>
      <c r="I121" s="163">
        <f>(B121*B4+C121*C4+D121*D4+E121*E4+F121*F4)/SUM(B4:F4)</f>
        <v>0</v>
      </c>
    </row>
    <row r="122" spans="1:9" ht="12.75">
      <c r="A122" s="163" t="s">
        <v>170</v>
      </c>
      <c r="B122" s="163">
        <f>B82*10000/B62</f>
        <v>171.14167293131734</v>
      </c>
      <c r="C122" s="163">
        <f>C82*10000/C62</f>
        <v>89.04703002804791</v>
      </c>
      <c r="D122" s="163">
        <f>D82*10000/D62</f>
        <v>-10.528489306690942</v>
      </c>
      <c r="E122" s="163">
        <f>E82*10000/E62</f>
        <v>-83.9741203746207</v>
      </c>
      <c r="F122" s="163">
        <f>F82*10000/F62</f>
        <v>-174.19077777089473</v>
      </c>
      <c r="G122" s="163">
        <f>AVERAGE(C122:E122)</f>
        <v>-1.8185265510879087</v>
      </c>
      <c r="H122" s="163">
        <f>STDEV(C122:E122)</f>
        <v>86.83880014180707</v>
      </c>
      <c r="I122" s="163">
        <f>(B122*B4+C122*C4+D122*D4+E122*E4+F122*F4)/SUM(B4:F4)</f>
        <v>0.17969137366900448</v>
      </c>
    </row>
    <row r="123" spans="1:9" ht="12.75">
      <c r="A123" s="163" t="s">
        <v>171</v>
      </c>
      <c r="B123" s="163">
        <f>B83*10000/B62</f>
        <v>-2.2072576360627676</v>
      </c>
      <c r="C123" s="163">
        <f>C83*10000/C62</f>
        <v>2.341147115747621</v>
      </c>
      <c r="D123" s="163">
        <f>D83*10000/D62</f>
        <v>4.027554381053712</v>
      </c>
      <c r="E123" s="163">
        <f>E83*10000/E62</f>
        <v>1.2224538624682075</v>
      </c>
      <c r="F123" s="163">
        <f>F83*10000/F62</f>
        <v>7.095128311790447</v>
      </c>
      <c r="G123" s="163">
        <f>AVERAGE(C123:E123)</f>
        <v>2.530385119756514</v>
      </c>
      <c r="H123" s="163">
        <f>STDEV(C123:E123)</f>
        <v>1.4120925948616538</v>
      </c>
      <c r="I123" s="163">
        <f>(B123*B4+C123*C4+D123*D4+E123*E4+F123*F4)/SUM(B4:F4)</f>
        <v>2.4547073698009205</v>
      </c>
    </row>
    <row r="124" spans="1:9" ht="12.75">
      <c r="A124" s="163" t="s">
        <v>172</v>
      </c>
      <c r="B124" s="163">
        <f>B84*10000/B62</f>
        <v>-2.3910322369971717</v>
      </c>
      <c r="C124" s="163">
        <f>C84*10000/C62</f>
        <v>-2.2256509117929926</v>
      </c>
      <c r="D124" s="163">
        <f>D84*10000/D62</f>
        <v>0.19177985158300384</v>
      </c>
      <c r="E124" s="163">
        <f>E84*10000/E62</f>
        <v>-0.7782323116897952</v>
      </c>
      <c r="F124" s="163">
        <f>F84*10000/F62</f>
        <v>2.015192889873607</v>
      </c>
      <c r="G124" s="163">
        <f>AVERAGE(C124:E124)</f>
        <v>-0.9373677906332613</v>
      </c>
      <c r="H124" s="163">
        <f>STDEV(C124:E124)</f>
        <v>1.2165467312943996</v>
      </c>
      <c r="I124" s="163">
        <f>(B124*B4+C124*C4+D124*D4+E124*E4+F124*F4)/SUM(B4:F4)</f>
        <v>-0.753290161181495</v>
      </c>
    </row>
    <row r="125" spans="1:9" ht="12.75">
      <c r="A125" s="163" t="s">
        <v>173</v>
      </c>
      <c r="B125" s="163">
        <f>B85*10000/B62</f>
        <v>0.05627686434958219</v>
      </c>
      <c r="C125" s="163">
        <f>C85*10000/C62</f>
        <v>1.0289353618290573</v>
      </c>
      <c r="D125" s="163">
        <f>D85*10000/D62</f>
        <v>1.277307445046595</v>
      </c>
      <c r="E125" s="163">
        <f>E85*10000/E62</f>
        <v>0.7523129898540496</v>
      </c>
      <c r="F125" s="163">
        <f>F85*10000/F62</f>
        <v>-0.3228885137731797</v>
      </c>
      <c r="G125" s="163">
        <f>AVERAGE(C125:E125)</f>
        <v>1.0195185989099007</v>
      </c>
      <c r="H125" s="163">
        <f>STDEV(C125:E125)</f>
        <v>0.26262387755806915</v>
      </c>
      <c r="I125" s="163">
        <f>(B125*B4+C125*C4+D125*D4+E125*E4+F125*F4)/SUM(B4:F4)</f>
        <v>0.700855500171228</v>
      </c>
    </row>
    <row r="126" spans="1:9" ht="12.75">
      <c r="A126" s="163" t="s">
        <v>174</v>
      </c>
      <c r="B126" s="163">
        <f>B86*10000/B62</f>
        <v>1.722911620663826</v>
      </c>
      <c r="C126" s="163">
        <f>C86*10000/C62</f>
        <v>0.39256919430289555</v>
      </c>
      <c r="D126" s="163">
        <f>D86*10000/D62</f>
        <v>0.4741664599266798</v>
      </c>
      <c r="E126" s="163">
        <f>E86*10000/E62</f>
        <v>0.09193128888059614</v>
      </c>
      <c r="F126" s="163">
        <f>F86*10000/F62</f>
        <v>0.6269675411703654</v>
      </c>
      <c r="G126" s="163">
        <f>AVERAGE(C126:E126)</f>
        <v>0.31955564770339046</v>
      </c>
      <c r="H126" s="163">
        <f>STDEV(C126:E126)</f>
        <v>0.2013061474134255</v>
      </c>
      <c r="I126" s="163">
        <f>(B126*B4+C126*C4+D126*D4+E126*E4+F126*F4)/SUM(B4:F4)</f>
        <v>0.5636436236592528</v>
      </c>
    </row>
    <row r="127" spans="1:9" ht="12.75">
      <c r="A127" s="163" t="s">
        <v>175</v>
      </c>
      <c r="B127" s="163">
        <f>B87*10000/B62</f>
        <v>-0.026348301438392407</v>
      </c>
      <c r="C127" s="163">
        <f>C87*10000/C62</f>
        <v>-0.33883087526725475</v>
      </c>
      <c r="D127" s="163">
        <f>D87*10000/D62</f>
        <v>-0.20805331818733983</v>
      </c>
      <c r="E127" s="163">
        <f>E87*10000/E62</f>
        <v>-0.22489467712580924</v>
      </c>
      <c r="F127" s="163">
        <f>F87*10000/F62</f>
        <v>0.3661359818497639</v>
      </c>
      <c r="G127" s="163">
        <f>AVERAGE(C127:E127)</f>
        <v>-0.25725962352680126</v>
      </c>
      <c r="H127" s="163">
        <f>STDEV(C127:E127)</f>
        <v>0.0711428821148111</v>
      </c>
      <c r="I127" s="163">
        <f>(B127*B4+C127*C4+D127*D4+E127*E4+F127*F4)/SUM(B4:F4)</f>
        <v>-0.1405845300704998</v>
      </c>
    </row>
    <row r="128" spans="1:9" ht="12.75">
      <c r="A128" s="163" t="s">
        <v>176</v>
      </c>
      <c r="B128" s="163">
        <f>B88*10000/B62</f>
        <v>-0.20142756618866098</v>
      </c>
      <c r="C128" s="163">
        <f>C88*10000/C62</f>
        <v>-0.250095373925051</v>
      </c>
      <c r="D128" s="163">
        <f>D88*10000/D62</f>
        <v>0.0383861296982844</v>
      </c>
      <c r="E128" s="163">
        <f>E88*10000/E62</f>
        <v>0.1381843848339192</v>
      </c>
      <c r="F128" s="163">
        <f>F88*10000/F62</f>
        <v>0.2256457514932224</v>
      </c>
      <c r="G128" s="163">
        <f>AVERAGE(C128:E128)</f>
        <v>-0.024508286464282464</v>
      </c>
      <c r="H128" s="163">
        <f>STDEV(C128:E128)</f>
        <v>0.2016359924562171</v>
      </c>
      <c r="I128" s="163">
        <f>(B128*B4+C128*C4+D128*D4+E128*E4+F128*F4)/SUM(B4:F4)</f>
        <v>-0.016689736951929105</v>
      </c>
    </row>
    <row r="129" spans="1:9" ht="12.75">
      <c r="A129" s="163" t="s">
        <v>177</v>
      </c>
      <c r="B129" s="163">
        <f>B89*10000/B62</f>
        <v>-0.02780790966647954</v>
      </c>
      <c r="C129" s="163">
        <f>C89*10000/C62</f>
        <v>0.09345092775983072</v>
      </c>
      <c r="D129" s="163">
        <f>D89*10000/D62</f>
        <v>0.055025580230873776</v>
      </c>
      <c r="E129" s="163">
        <f>E89*10000/E62</f>
        <v>0.09544510086479424</v>
      </c>
      <c r="F129" s="163">
        <f>F89*10000/F62</f>
        <v>0.0879182520399565</v>
      </c>
      <c r="G129" s="163">
        <f>AVERAGE(C129:E129)</f>
        <v>0.08130720295183291</v>
      </c>
      <c r="H129" s="163">
        <f>STDEV(C129:E129)</f>
        <v>0.02278238247480419</v>
      </c>
      <c r="I129" s="163">
        <f>(B129*B4+C129*C4+D129*D4+E129*E4+F129*F4)/SUM(B4:F4)</f>
        <v>0.06640437529078068</v>
      </c>
    </row>
    <row r="130" spans="1:9" ht="12.75">
      <c r="A130" s="163" t="s">
        <v>178</v>
      </c>
      <c r="B130" s="163">
        <f>B90*10000/B62</f>
        <v>0.10559103746235896</v>
      </c>
      <c r="C130" s="163">
        <f>C90*10000/C62</f>
        <v>0.054511416170667015</v>
      </c>
      <c r="D130" s="163">
        <f>D90*10000/D62</f>
        <v>0.06513795067279285</v>
      </c>
      <c r="E130" s="163">
        <f>E90*10000/E62</f>
        <v>0.07050219950547673</v>
      </c>
      <c r="F130" s="163">
        <f>F90*10000/F62</f>
        <v>0.24936308634530296</v>
      </c>
      <c r="G130" s="163">
        <f>AVERAGE(C130:E130)</f>
        <v>0.06338385544964553</v>
      </c>
      <c r="H130" s="163">
        <f>STDEV(C130:E130)</f>
        <v>0.008138422786640422</v>
      </c>
      <c r="I130" s="163">
        <f>(B130*B4+C130*C4+D130*D4+E130*E4+F130*F4)/SUM(B4:F4)</f>
        <v>0.09433182197068406</v>
      </c>
    </row>
    <row r="131" spans="1:9" ht="12.75">
      <c r="A131" s="163" t="s">
        <v>179</v>
      </c>
      <c r="B131" s="163">
        <f>B91*10000/B62</f>
        <v>0.014195464309503535</v>
      </c>
      <c r="C131" s="163">
        <f>C91*10000/C62</f>
        <v>-0.02356763107426548</v>
      </c>
      <c r="D131" s="163">
        <f>D91*10000/D62</f>
        <v>-0.035469443784754855</v>
      </c>
      <c r="E131" s="163">
        <f>E91*10000/E62</f>
        <v>-0.007415494402840941</v>
      </c>
      <c r="F131" s="163">
        <f>F91*10000/F62</f>
        <v>0.045218072226316075</v>
      </c>
      <c r="G131" s="163">
        <f>AVERAGE(C131:E131)</f>
        <v>-0.022150856420620424</v>
      </c>
      <c r="H131" s="163">
        <f>STDEV(C131:E131)</f>
        <v>0.014080534677175982</v>
      </c>
      <c r="I131" s="163">
        <f>(B131*B4+C131*C4+D131*D4+E131*E4+F131*F4)/SUM(B4:F4)</f>
        <v>-0.007893907508748268</v>
      </c>
    </row>
    <row r="132" spans="1:9" ht="12.75">
      <c r="A132" s="163" t="s">
        <v>180</v>
      </c>
      <c r="B132" s="163">
        <f>B92*10000/B62</f>
        <v>0.0067784159888912565</v>
      </c>
      <c r="C132" s="163">
        <f>C92*10000/C62</f>
        <v>-0.01587323345860049</v>
      </c>
      <c r="D132" s="163">
        <f>D92*10000/D62</f>
        <v>-0.004037644477429565</v>
      </c>
      <c r="E132" s="163">
        <f>E92*10000/E62</f>
        <v>0.031799120934684906</v>
      </c>
      <c r="F132" s="163">
        <f>F92*10000/F62</f>
        <v>0.03307308394190473</v>
      </c>
      <c r="G132" s="163">
        <f>AVERAGE(C132:E132)</f>
        <v>0.003962747666218284</v>
      </c>
      <c r="H132" s="163">
        <f>STDEV(C132:E132)</f>
        <v>0.02482273250850631</v>
      </c>
      <c r="I132" s="163">
        <f>(B132*B4+C132*C4+D132*D4+E132*E4+F132*F4)/SUM(B4:F4)</f>
        <v>0.008258446145310268</v>
      </c>
    </row>
    <row r="133" spans="1:9" ht="12.75">
      <c r="A133" s="163" t="s">
        <v>181</v>
      </c>
      <c r="B133" s="163">
        <f>B93*10000/B62</f>
        <v>0.052440044507600835</v>
      </c>
      <c r="C133" s="163">
        <f>C93*10000/C62</f>
        <v>0.02980239592768153</v>
      </c>
      <c r="D133" s="163">
        <f>D93*10000/D62</f>
        <v>0.01896162921506822</v>
      </c>
      <c r="E133" s="163">
        <f>E93*10000/E62</f>
        <v>0.0368820226483854</v>
      </c>
      <c r="F133" s="163">
        <f>F93*10000/F62</f>
        <v>0.02671662086759044</v>
      </c>
      <c r="G133" s="163">
        <f>AVERAGE(C133:E133)</f>
        <v>0.028548682597045055</v>
      </c>
      <c r="H133" s="163">
        <f>STDEV(C133:E133)</f>
        <v>0.009025739473183398</v>
      </c>
      <c r="I133" s="163">
        <f>(B133*B4+C133*C4+D133*D4+E133*E4+F133*F4)/SUM(B4:F4)</f>
        <v>0.03176037622555464</v>
      </c>
    </row>
    <row r="134" spans="1:9" ht="12.75">
      <c r="A134" s="163" t="s">
        <v>182</v>
      </c>
      <c r="B134" s="163">
        <f>B94*10000/B62</f>
        <v>0.001480645730860646</v>
      </c>
      <c r="C134" s="163">
        <f>C94*10000/C62</f>
        <v>0.01141390606225018</v>
      </c>
      <c r="D134" s="163">
        <f>D94*10000/D62</f>
        <v>0.014867782659560527</v>
      </c>
      <c r="E134" s="163">
        <f>E94*10000/E62</f>
        <v>0.025249068520386227</v>
      </c>
      <c r="F134" s="163">
        <f>F94*10000/F62</f>
        <v>-0.010920368963012624</v>
      </c>
      <c r="G134" s="163">
        <f>AVERAGE(C134:E134)</f>
        <v>0.017176919080732312</v>
      </c>
      <c r="H134" s="163">
        <f>STDEV(C134:E134)</f>
        <v>0.007200834209967678</v>
      </c>
      <c r="I134" s="163">
        <f>(B134*B4+C134*C4+D134*D4+E134*E4+F134*F4)/SUM(B4:F4)</f>
        <v>0.011153075486003527</v>
      </c>
    </row>
    <row r="135" spans="1:9" ht="12.75">
      <c r="A135" s="163" t="s">
        <v>183</v>
      </c>
      <c r="B135" s="163">
        <f>B95*10000/B62</f>
        <v>-0.003371023506268443</v>
      </c>
      <c r="C135" s="163">
        <f>C95*10000/C62</f>
        <v>0.00528658620545591</v>
      </c>
      <c r="D135" s="163">
        <f>D95*10000/D62</f>
        <v>0.003839255058716392</v>
      </c>
      <c r="E135" s="163">
        <f>E95*10000/E62</f>
        <v>0.0034918191527652945</v>
      </c>
      <c r="F135" s="163">
        <f>F95*10000/F62</f>
        <v>0.002396932591346404</v>
      </c>
      <c r="G135" s="163">
        <f>AVERAGE(C135:E135)</f>
        <v>0.004205886805645866</v>
      </c>
      <c r="H135" s="163">
        <f>STDEV(C135:E135)</f>
        <v>0.0009518987980601473</v>
      </c>
      <c r="I135" s="163">
        <f>(B135*B4+C135*C4+D135*D4+E135*E4+F135*F4)/SUM(B4:F4)</f>
        <v>0.0028680940663414296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2003-11-27T07:35:28Z</cp:lastPrinted>
  <dcterms:created xsi:type="dcterms:W3CDTF">1999-06-17T15:15:05Z</dcterms:created>
  <dcterms:modified xsi:type="dcterms:W3CDTF">2005-10-05T15:03:54Z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