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40_pos1ap2" sheetId="2" r:id="rId2"/>
    <sheet name="HCMQAP140_pos2ap2" sheetId="3" r:id="rId3"/>
    <sheet name="HCMQAP140_pos3ap2" sheetId="4" r:id="rId4"/>
    <sheet name="HCMQAP140_pos4ap2" sheetId="5" r:id="rId5"/>
    <sheet name="HCMQAP140_pos5ap2" sheetId="6" r:id="rId6"/>
    <sheet name="Lmag_hcmqap" sheetId="7" r:id="rId7"/>
    <sheet name="Result_HCMQAP" sheetId="8" r:id="rId8"/>
  </sheets>
  <definedNames>
    <definedName name="_xlnm.Print_Area" localSheetId="1">'HCMQAP140_pos1ap2'!$A$1:$N$28</definedName>
    <definedName name="_xlnm.Print_Area" localSheetId="2">'HCMQAP140_pos2ap2'!$A$1:$N$28</definedName>
    <definedName name="_xlnm.Print_Area" localSheetId="3">'HCMQAP140_pos3ap2'!$A$1:$N$28</definedName>
    <definedName name="_xlnm.Print_Area" localSheetId="4">'HCMQAP140_pos4ap2'!$A$1:$N$28</definedName>
    <definedName name="_xlnm.Print_Area" localSheetId="5">'HCMQAP140_pos5ap2'!$A$1:$N$28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<sst xmlns="http://schemas.openxmlformats.org/spreadsheetml/2006/main" count="507" uniqueCount="191">
  <si>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</si>
  <si>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</si>
  <si>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</si>
  <si>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</si>
  <si>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</si>
  <si>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</si>
  <si>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</si>
  <si>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</si>
  <si>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</si>
  <si>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</si>
  <si>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</si>
  <si>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</si>
  <si>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</si>
  <si>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</si>
  <si>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</si>
  <si>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hcmqap140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</si>
  <si>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</si>
  <si>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</si>
  <si>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</si>
  <si>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</si>
  <si>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</si>
  <si>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</si>
  <si>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</si>
  <si>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</si>
  <si>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</si>
  <si>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</si>
  <si>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</si>
  <si>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</si>
  <si>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</si>
  <si>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</si>
  <si>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</si>
  <si>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</si>
  <si>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</si>
  <si>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</si>
  <si>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</si>
  <si>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</si>
  <si>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</si>
  <si>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</si>
  <si>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</si>
  <si>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</si>
  <si>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</si>
  <si>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</si>
  <si>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</si>
  <si>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</si>
  <si>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</si>
  <si>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</si>
  <si>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</si>
  <si>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</si>
  <si>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</si>
  <si>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</si>
  <si>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</si>
  <si>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</si>
  <si>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</si>
  <si>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</si>
  <si>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</si>
  <si>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</si>
  <si>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</si>
  <si>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</si>
  <si>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</si>
  <si>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</si>
  <si>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</si>
  <si>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</si>
  <si>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</si>
  <si>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</si>
  <si>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</si>
  <si>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</si>
  <si>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</si>
  <si>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</si>
  <si>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HCMQAP140_pos1ap2</t>
  </si>
  <si>
    <t>±12.5</t>
  </si>
  <si>
    <t>THCMQAP140_pos1ap2.xls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</si>
  <si>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</si>
  <si>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HCMQAP140_pos2ap2</t>
  </si>
  <si>
    <t>THCMQAP140_pos2ap2.xls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</si>
  <si>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-3.754 mT)</t>
    </r>
  </si>
  <si>
    <t>HCMQAP140_pos3ap2</t>
  </si>
  <si>
    <t>THCMQAP140_pos3ap2.xls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</si>
  <si>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-3.751 mT)</t>
    </r>
  </si>
  <si>
    <t>HCMQAP140_pos4ap2</t>
  </si>
  <si>
    <t>THCMQAP140_pos4ap2.xls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</si>
  <si>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 mT)</t>
    </r>
  </si>
  <si>
    <t>HCMQAP140_pos5ap2</t>
  </si>
  <si>
    <t>THCMQAP140_pos5ap2.xls</t>
  </si>
  <si>
    <t>Sommaire : Valeurs intégrales calculées avec les fichiers: HCMQAP140_pos1ap2+HCMQAP140_pos2ap2+HCMQAP140_pos3ap2+HCMQAP140_pos4ap2+HCMQAP140_pos5ap2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</si>
  <si>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</si>
  <si>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</si>
  <si>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</si>
  <si>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</si>
  <si>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</si>
  <si>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</si>
  <si>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</si>
  <si>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</si>
  <si>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</si>
  <si>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</si>
  <si>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</si>
  <si>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</si>
  <si>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</si>
  <si>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</si>
  <si>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</si>
  <si>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</si>
  <si>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</si>
  <si>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</si>
  <si>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</si>
  <si>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</si>
  <si>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</si>
  <si>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</si>
  <si>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</si>
  <si>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</si>
  <si>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</si>
  <si>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</si>
  <si>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</si>
  <si>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</si>
  <si>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</si>
  <si>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</si>
  <si>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</si>
  <si>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</si>
  <si>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</si>
  <si>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</si>
  <si>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</si>
  <si>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</si>
  <si>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</si>
  <si>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</si>
  <si>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</si>
  <si>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</si>
  <si>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</si>
  <si>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</si>
  <si>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</si>
  <si>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=-3.753</t>
    </r>
  </si>
  <si>
    <t>Gradient (T/m)</t>
  </si>
  <si>
    <t xml:space="preserve"> Wed 10/12/2003       12:47:08</t>
  </si>
  <si>
    <t>LISSNER</t>
  </si>
  <si>
    <t>HCMQAP140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</si>
  <si>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</si>
  <si>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</si>
  <si>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</si>
  <si>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</si>
  <si>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</si>
  <si>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</si>
  <si>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</si>
  <si>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</si>
  <si>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</si>
  <si>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a6!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</si>
  <si>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</si>
  <si>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</si>
  <si>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</si>
  <si>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</si>
  <si>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</si>
  <si>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</si>
  <si>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           Duration : 30mn</t>
  </si>
  <si>
    <t>number of measurement</t>
  </si>
  <si>
    <t>Mean real current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</si>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</sst>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40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056539"/>
        <c:axId val="19291124"/>
      </c:lineChart>
      <c:catAx>
        <c:axId val="170565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291124"/>
        <c:crosses val="autoZero"/>
        <c:auto val="1"/>
        <c:lblOffset val="100"/>
        <c:noMultiLvlLbl val="0"/>
      </c:catAx>
      <c:valAx>
        <c:axId val="1929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70565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37906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2812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37906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2812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37906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2812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37906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78</v>
      </c>
      <c r="H5" s="25">
        <v>2812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37906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81</v>
      </c>
      <c r="H6" s="25">
        <v>2812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3.355780624E-05</v>
      </c>
      <c r="L2" s="55">
        <v>5.824601255719968E-08</v>
      </c>
      <c r="M2" s="55">
        <v>0.00011239201600000001</v>
      </c>
      <c r="N2" s="56">
        <v>1.0769003269488712E-07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-3.279956376E-05</v>
      </c>
      <c r="L3" s="55">
        <v>1.0530839602134875E-07</v>
      </c>
      <c r="M3" s="55">
        <v>1.5523003999999998E-05</v>
      </c>
      <c r="N3" s="56">
        <v>1.8535015614788355E-07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-0.002259589559153822</v>
      </c>
      <c r="L4" s="55">
        <v>2.1642141513195416E-05</v>
      </c>
      <c r="M4" s="55">
        <v>3.345535732786299E-08</v>
      </c>
      <c r="N4" s="56">
        <v>-4.7888077</v>
      </c>
    </row>
    <row r="5" spans="1:14" ht="15" customHeight="1" thickBot="1">
      <c r="A5" t="s">
        <v>18</v>
      </c>
      <c r="B5" s="59">
        <v>37965.511342592596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2812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0.30579118</v>
      </c>
      <c r="E8" s="78">
        <v>0.02289123292580835</v>
      </c>
      <c r="F8" s="78">
        <v>-0.1378888075</v>
      </c>
      <c r="G8" s="78">
        <v>0.01912322113259392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0.584996613</v>
      </c>
      <c r="E9" s="80">
        <v>0.018358988840222763</v>
      </c>
      <c r="F9" s="80">
        <v>0.7679188100000001</v>
      </c>
      <c r="G9" s="80">
        <v>0.014028496846684387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0.09805687999999999</v>
      </c>
      <c r="E10" s="80">
        <v>0.009733365700547813</v>
      </c>
      <c r="F10" s="80">
        <v>0.52721012</v>
      </c>
      <c r="G10" s="80">
        <v>0.007988832738869762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5.146800900000001</v>
      </c>
      <c r="E11" s="78">
        <v>0.01568007065453085</v>
      </c>
      <c r="F11" s="78">
        <v>-0.06792256599999999</v>
      </c>
      <c r="G11" s="78">
        <v>0.004122862419180872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0.14140495</v>
      </c>
      <c r="E12" s="80">
        <v>0.008011692725448154</v>
      </c>
      <c r="F12" s="80">
        <v>-0.0442952648</v>
      </c>
      <c r="G12" s="80">
        <v>0.009705980904773426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18.405152</v>
      </c>
      <c r="D13" s="83">
        <v>-0.08894078799999999</v>
      </c>
      <c r="E13" s="80">
        <v>0.006089116359500554</v>
      </c>
      <c r="F13" s="80">
        <v>0.14570999</v>
      </c>
      <c r="G13" s="80">
        <v>0.0017426345937684537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-0.020655604</v>
      </c>
      <c r="E14" s="80">
        <v>0.0017736058982434652</v>
      </c>
      <c r="F14" s="80">
        <v>0.12741677599999998</v>
      </c>
      <c r="G14" s="80">
        <v>0.004055823847966651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-0.31420059000000006</v>
      </c>
      <c r="E15" s="78">
        <v>0.002669239659972322</v>
      </c>
      <c r="F15" s="78">
        <v>0.070387407</v>
      </c>
      <c r="G15" s="78">
        <v>0.0028341682310311323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0.02786191</v>
      </c>
      <c r="E16" s="80">
        <v>0.0008990272741857241</v>
      </c>
      <c r="F16" s="80">
        <v>0.01500969188</v>
      </c>
      <c r="G16" s="80">
        <v>0.0009045277525940405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0.4350000023841858</v>
      </c>
      <c r="D17" s="83">
        <v>-0.035761575000000004</v>
      </c>
      <c r="E17" s="80">
        <v>0.002650379910314752</v>
      </c>
      <c r="F17" s="80">
        <v>0.024727281</v>
      </c>
      <c r="G17" s="80">
        <v>0.0015839136063710941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-6.104000091552734</v>
      </c>
      <c r="D18" s="83">
        <v>0.026199830999999996</v>
      </c>
      <c r="E18" s="80">
        <v>0.0012705023050920703</v>
      </c>
      <c r="F18" s="80">
        <v>0.087316473</v>
      </c>
      <c r="G18" s="80">
        <v>0.0019814507394446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0.3930000066757202</v>
      </c>
      <c r="D19" s="86">
        <v>-0.1935502</v>
      </c>
      <c r="E19" s="80">
        <v>0.0008144001448946617</v>
      </c>
      <c r="F19" s="80">
        <v>0.0116307683</v>
      </c>
      <c r="G19" s="80">
        <v>0.0013870716211564491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0.2605407</v>
      </c>
      <c r="D20" s="88">
        <v>4.0571000000000097E-05</v>
      </c>
      <c r="E20" s="89">
        <v>0.0007373003407563977</v>
      </c>
      <c r="F20" s="89">
        <v>-0.0011225324000000002</v>
      </c>
      <c r="G20" s="89">
        <v>0.001476710394045847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0.8430658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-0.27437870186752567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-2.2596932</v>
      </c>
      <c r="I25" s="101" t="s">
        <v>49</v>
      </c>
      <c r="J25" s="102"/>
      <c r="K25" s="101"/>
      <c r="L25" s="104">
        <v>5.147249069086597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0.3354423482501344</v>
      </c>
      <c r="I26" s="106" t="s">
        <v>53</v>
      </c>
      <c r="J26" s="107"/>
      <c r="K26" s="106"/>
      <c r="L26" s="109">
        <v>0.32198819515710786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HCMQAP140_pos1ap2res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2.03582099E-05</v>
      </c>
      <c r="L2" s="55">
        <v>1.4486290413958633E-07</v>
      </c>
      <c r="M2" s="55">
        <v>8.2999262E-05</v>
      </c>
      <c r="N2" s="56">
        <v>2.0382588016657483E-07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-3.0285392100000003E-05</v>
      </c>
      <c r="L3" s="55">
        <v>8.841418774817915E-08</v>
      </c>
      <c r="M3" s="55">
        <v>1.3921371999999999E-05</v>
      </c>
      <c r="N3" s="56">
        <v>1.8445741645703065E-07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-0.003753046273813278</v>
      </c>
      <c r="L4" s="55">
        <v>7.210315284844533E-06</v>
      </c>
      <c r="M4" s="55">
        <v>5.472532597797732E-08</v>
      </c>
      <c r="N4" s="56">
        <v>-0.96059386</v>
      </c>
    </row>
    <row r="5" spans="1:14" ht="15" customHeight="1" thickBot="1">
      <c r="A5" t="s">
        <v>18</v>
      </c>
      <c r="B5" s="59">
        <v>37965.51600694445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2812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-0.78289298</v>
      </c>
      <c r="E8" s="78">
        <v>0.015310991463900463</v>
      </c>
      <c r="F8" s="78">
        <v>-0.44480046</v>
      </c>
      <c r="G8" s="78">
        <v>0.013169868390093445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-0.25059570000000003</v>
      </c>
      <c r="E9" s="80">
        <v>0.005885666071226788</v>
      </c>
      <c r="F9" s="114">
        <v>-2.7726241</v>
      </c>
      <c r="G9" s="80">
        <v>0.009159758006710546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0.6674362300000001</v>
      </c>
      <c r="E10" s="80">
        <v>0.004247774341761214</v>
      </c>
      <c r="F10" s="80">
        <v>0.23864926</v>
      </c>
      <c r="G10" s="80">
        <v>0.004273551185067648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4.7359181999999995</v>
      </c>
      <c r="E11" s="78">
        <v>0.005483362733013955</v>
      </c>
      <c r="F11" s="78">
        <v>0.7743097800000001</v>
      </c>
      <c r="G11" s="78">
        <v>0.0046566472879663945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0.46097214</v>
      </c>
      <c r="E12" s="80">
        <v>0.002922053751635815</v>
      </c>
      <c r="F12" s="80">
        <v>-0.22649195</v>
      </c>
      <c r="G12" s="80">
        <v>0.007139973736646178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18.338013</v>
      </c>
      <c r="D13" s="83">
        <v>-0.23754342999999997</v>
      </c>
      <c r="E13" s="80">
        <v>0.002628228994705833</v>
      </c>
      <c r="F13" s="80">
        <v>-0.31940403</v>
      </c>
      <c r="G13" s="80">
        <v>0.0022225134754573685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0.15521825000000003</v>
      </c>
      <c r="E14" s="80">
        <v>0.0019966693895070047</v>
      </c>
      <c r="F14" s="80">
        <v>0.085033833</v>
      </c>
      <c r="G14" s="80">
        <v>0.0026261757612933297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-0.12843789</v>
      </c>
      <c r="E15" s="78">
        <v>0.0010203632708189938</v>
      </c>
      <c r="F15" s="78">
        <v>0.11112948</v>
      </c>
      <c r="G15" s="78">
        <v>0.0019484207542520978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-0.00046864800000000017</v>
      </c>
      <c r="E16" s="80">
        <v>0.001591223609701603</v>
      </c>
      <c r="F16" s="80">
        <v>0.0023936274</v>
      </c>
      <c r="G16" s="80">
        <v>0.001449130528839531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-0.414000004529953</v>
      </c>
      <c r="D17" s="83">
        <v>0.005095958</v>
      </c>
      <c r="E17" s="80">
        <v>0.0010174615767221868</v>
      </c>
      <c r="F17" s="80">
        <v>-0.0176969152</v>
      </c>
      <c r="G17" s="80">
        <v>0.0021226973397031473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38.14699935913086</v>
      </c>
      <c r="D18" s="83">
        <v>-0.00141682224</v>
      </c>
      <c r="E18" s="80">
        <v>0.001605048359396491</v>
      </c>
      <c r="F18" s="80">
        <v>0.033421825</v>
      </c>
      <c r="G18" s="80">
        <v>0.001843667829463858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-0.49000000953674316</v>
      </c>
      <c r="D19" s="86">
        <v>-0.17088112</v>
      </c>
      <c r="E19" s="80">
        <v>0.00040089581264372354</v>
      </c>
      <c r="F19" s="80">
        <v>0.020789793</v>
      </c>
      <c r="G19" s="80">
        <v>0.0011013155361502599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0.0929392</v>
      </c>
      <c r="D20" s="88">
        <v>-0.007287701399999999</v>
      </c>
      <c r="E20" s="89">
        <v>0.00040674759429546473</v>
      </c>
      <c r="F20" s="89">
        <v>0.00230825892</v>
      </c>
      <c r="G20" s="89">
        <v>0.0010253506680846362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0.37577689999999997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-0.05503802049280778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-3.7530531999999996</v>
      </c>
      <c r="I25" s="101" t="s">
        <v>49</v>
      </c>
      <c r="J25" s="102"/>
      <c r="K25" s="101"/>
      <c r="L25" s="104">
        <v>4.798799519931509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0.9004270472112063</v>
      </c>
      <c r="I26" s="106" t="s">
        <v>53</v>
      </c>
      <c r="J26" s="107"/>
      <c r="K26" s="106"/>
      <c r="L26" s="109">
        <v>0.16984125798145308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HCMQAP140_pos2ap2res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4.5756013E-05</v>
      </c>
      <c r="L2" s="55">
        <v>1.5250750199862182E-07</v>
      </c>
      <c r="M2" s="55">
        <v>0.000101602117</v>
      </c>
      <c r="N2" s="56">
        <v>4.3326713394557114E-07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-2.9070359000000003E-05</v>
      </c>
      <c r="L3" s="55">
        <v>7.33689572895078E-08</v>
      </c>
      <c r="M3" s="55">
        <v>1.1385983000000001E-05</v>
      </c>
      <c r="N3" s="56">
        <v>8.745788218331104E-08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-0.003754029349484382</v>
      </c>
      <c r="L4" s="55">
        <v>-2.677045358054892E-05</v>
      </c>
      <c r="M4" s="55">
        <v>7.683593269651949E-08</v>
      </c>
      <c r="N4" s="56">
        <v>3.5655022</v>
      </c>
    </row>
    <row r="5" spans="1:14" ht="15" customHeight="1" thickBot="1">
      <c r="A5" t="s">
        <v>18</v>
      </c>
      <c r="B5" s="59">
        <v>37965.52027777778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2812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-2.1341586</v>
      </c>
      <c r="E8" s="78">
        <v>0.012702332846382629</v>
      </c>
      <c r="F8" s="78">
        <v>2.7840610999999997</v>
      </c>
      <c r="G8" s="78">
        <v>0.011688795469990338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0.16397534</v>
      </c>
      <c r="E9" s="80">
        <v>0.011824865926402682</v>
      </c>
      <c r="F9" s="114">
        <v>-2.8303180000000006</v>
      </c>
      <c r="G9" s="80">
        <v>0.008419143988440287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1.1572751000000001</v>
      </c>
      <c r="E10" s="80">
        <v>0.006281775653826076</v>
      </c>
      <c r="F10" s="80">
        <v>1.3269933999999999</v>
      </c>
      <c r="G10" s="80">
        <v>0.00747279466065775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4.602240200000001</v>
      </c>
      <c r="E11" s="78">
        <v>0.0036516453490968563</v>
      </c>
      <c r="F11" s="78">
        <v>0.5664642499999999</v>
      </c>
      <c r="G11" s="78">
        <v>0.0036271350467014596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0.14861036</v>
      </c>
      <c r="E12" s="80">
        <v>0.004688713928935564</v>
      </c>
      <c r="F12" s="80">
        <v>-0.066671379</v>
      </c>
      <c r="G12" s="80">
        <v>0.003049908249432161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18.286133</v>
      </c>
      <c r="D13" s="83">
        <v>-0.027982666</v>
      </c>
      <c r="E13" s="80">
        <v>0.001814930611278052</v>
      </c>
      <c r="F13" s="80">
        <v>0.10726503700000001</v>
      </c>
      <c r="G13" s="80">
        <v>0.004437524597005102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0.05448715900000001</v>
      </c>
      <c r="E14" s="80">
        <v>0.0013756346839779601</v>
      </c>
      <c r="F14" s="80">
        <v>0.12721814199999998</v>
      </c>
      <c r="G14" s="80">
        <v>0.0020417651227129102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-0.006414553000000001</v>
      </c>
      <c r="E15" s="78">
        <v>0.0015781542159389855</v>
      </c>
      <c r="F15" s="78">
        <v>0.051489960999999994</v>
      </c>
      <c r="G15" s="78">
        <v>0.0020298271634906825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12.513399999999999</v>
      </c>
      <c r="D16" s="83">
        <v>0.01380549852</v>
      </c>
      <c r="E16" s="80">
        <v>0.0018466788945222746</v>
      </c>
      <c r="F16" s="80">
        <v>-0.017649024000000003</v>
      </c>
      <c r="G16" s="80">
        <v>0.0008811422204921679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0.2460000067949295</v>
      </c>
      <c r="D17" s="83">
        <v>-0.00540494</v>
      </c>
      <c r="E17" s="80">
        <v>0.001659895446927305</v>
      </c>
      <c r="F17" s="80">
        <v>0.06909845899999999</v>
      </c>
      <c r="G17" s="80">
        <v>0.0007434528922493002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-1.0169999599456787</v>
      </c>
      <c r="D18" s="83">
        <v>0.012097483800000001</v>
      </c>
      <c r="E18" s="80">
        <v>0.0013348344190302517</v>
      </c>
      <c r="F18" s="80">
        <v>0.032108248000000006</v>
      </c>
      <c r="G18" s="80">
        <v>0.0014066761544241646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0.04399999976158142</v>
      </c>
      <c r="D19" s="86">
        <v>-0.17574790999999998</v>
      </c>
      <c r="E19" s="80">
        <v>0.00042317229281455893</v>
      </c>
      <c r="F19" s="80">
        <v>0.020061169</v>
      </c>
      <c r="G19" s="80">
        <v>0.001219570709087383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0.2039148</v>
      </c>
      <c r="D20" s="88">
        <v>-0.00422212818</v>
      </c>
      <c r="E20" s="89">
        <v>0.0005993934977850165</v>
      </c>
      <c r="F20" s="89">
        <v>0.0046180634499999994</v>
      </c>
      <c r="G20" s="89">
        <v>0.00044071929560410256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0.4615512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0.20428840045963986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-3.7541248</v>
      </c>
      <c r="I25" s="101" t="s">
        <v>49</v>
      </c>
      <c r="J25" s="102"/>
      <c r="K25" s="101"/>
      <c r="L25" s="104">
        <v>4.63697062800964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3.507938018050942</v>
      </c>
      <c r="I26" s="106" t="s">
        <v>53</v>
      </c>
      <c r="J26" s="107"/>
      <c r="K26" s="106"/>
      <c r="L26" s="109">
        <v>0.05188798101652568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HCMQAP140_pos3ap2res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5.9253934000000005E-05</v>
      </c>
      <c r="L2" s="55">
        <v>1.3808264870479338E-07</v>
      </c>
      <c r="M2" s="55">
        <v>0.00012290646</v>
      </c>
      <c r="N2" s="56">
        <v>1.3431443109672515E-07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-2.96593E-05</v>
      </c>
      <c r="L3" s="55">
        <v>1.9201448255251492E-07</v>
      </c>
      <c r="M3" s="55">
        <v>9.83848E-06</v>
      </c>
      <c r="N3" s="56">
        <v>1.2778718089073196E-07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-0.0037506166041650964</v>
      </c>
      <c r="L4" s="55">
        <v>-5.933395098837291E-05</v>
      </c>
      <c r="M4" s="55">
        <v>5.7597219021119426E-08</v>
      </c>
      <c r="N4" s="56">
        <v>7.9092331</v>
      </c>
    </row>
    <row r="5" spans="1:14" ht="15" customHeight="1" thickBot="1">
      <c r="A5" t="s">
        <v>18</v>
      </c>
      <c r="B5" s="59">
        <v>37965.52476851852</v>
      </c>
      <c r="D5" s="60"/>
      <c r="E5" s="61" t="s">
        <v>77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2812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-0.35414105</v>
      </c>
      <c r="E8" s="78">
        <v>0.009314552761889609</v>
      </c>
      <c r="F8" s="78">
        <v>0.23980080200000004</v>
      </c>
      <c r="G8" s="78">
        <v>0.007194513727222829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0.30808199500000005</v>
      </c>
      <c r="E9" s="80">
        <v>0.008745413982600777</v>
      </c>
      <c r="F9" s="80">
        <v>-0.9323222399999999</v>
      </c>
      <c r="G9" s="80">
        <v>0.01565764122607873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0.45290590000000003</v>
      </c>
      <c r="E10" s="80">
        <v>0.00584602584042899</v>
      </c>
      <c r="F10" s="80">
        <v>0.7382937</v>
      </c>
      <c r="G10" s="80">
        <v>0.008338357627677637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5.3399848</v>
      </c>
      <c r="E11" s="78">
        <v>0.004176611145247575</v>
      </c>
      <c r="F11" s="78">
        <v>-0.30263</v>
      </c>
      <c r="G11" s="78">
        <v>0.004146130405813701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0.117120122</v>
      </c>
      <c r="E12" s="80">
        <v>0.0037887627868300215</v>
      </c>
      <c r="F12" s="80">
        <v>-0.11868002500000001</v>
      </c>
      <c r="G12" s="80">
        <v>0.003098921435042633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18.237305</v>
      </c>
      <c r="D13" s="83">
        <v>0.04551827</v>
      </c>
      <c r="E13" s="80">
        <v>0.002583197945013141</v>
      </c>
      <c r="F13" s="80">
        <v>0.21583521</v>
      </c>
      <c r="G13" s="80">
        <v>0.003013582149933608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0.009345898383500001</v>
      </c>
      <c r="E14" s="80">
        <v>0.0010517724341899662</v>
      </c>
      <c r="F14" s="80">
        <v>0.11271730799999999</v>
      </c>
      <c r="G14" s="80">
        <v>0.0021190962138504872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-0.079788262</v>
      </c>
      <c r="E15" s="78">
        <v>0.0027763680991280456</v>
      </c>
      <c r="F15" s="78">
        <v>-0.068442327</v>
      </c>
      <c r="G15" s="78">
        <v>0.0019095340416935061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</v>
      </c>
      <c r="D16" s="83">
        <v>-0.01513855569</v>
      </c>
      <c r="E16" s="80">
        <v>0.0014288909806473456</v>
      </c>
      <c r="F16" s="80">
        <v>-0.0031882192999999996</v>
      </c>
      <c r="G16" s="80">
        <v>0.002853418744354333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-0.22599999606609344</v>
      </c>
      <c r="D17" s="83">
        <v>-0.006695949000000001</v>
      </c>
      <c r="E17" s="80">
        <v>0.0011189442491983176</v>
      </c>
      <c r="F17" s="80">
        <v>0.074988046</v>
      </c>
      <c r="G17" s="80">
        <v>0.0016485805489497225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11.1899995803833</v>
      </c>
      <c r="D18" s="83">
        <v>0.020244209999999995</v>
      </c>
      <c r="E18" s="80">
        <v>0.0008339928701135151</v>
      </c>
      <c r="F18" s="80">
        <v>0.046657013000000004</v>
      </c>
      <c r="G18" s="80">
        <v>0.0009262149455527941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-0.2639999985694885</v>
      </c>
      <c r="D19" s="86">
        <v>-0.17140527</v>
      </c>
      <c r="E19" s="80">
        <v>0.0011717766747987351</v>
      </c>
      <c r="F19" s="80">
        <v>0.0081293389</v>
      </c>
      <c r="G19" s="80">
        <v>0.0005606217785405222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0.25969689999999995</v>
      </c>
      <c r="D20" s="88">
        <v>-0.0007653547799999999</v>
      </c>
      <c r="E20" s="89">
        <v>0.0010868094764755107</v>
      </c>
      <c r="F20" s="89">
        <v>0.0021786321132</v>
      </c>
      <c r="G20" s="89">
        <v>0.0014859657005431158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0.5611898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0.4531660585881671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-3.7510859</v>
      </c>
      <c r="I25" s="101" t="s">
        <v>49</v>
      </c>
      <c r="J25" s="102"/>
      <c r="K25" s="101"/>
      <c r="L25" s="104">
        <v>5.34855331665779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0.4276918375827925</v>
      </c>
      <c r="I26" s="106" t="s">
        <v>53</v>
      </c>
      <c r="J26" s="107"/>
      <c r="K26" s="106"/>
      <c r="L26" s="109">
        <v>0.10512144823087043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HCMQAP140_pos4ap2res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5.7421902E-05</v>
      </c>
      <c r="L2" s="55">
        <v>5.121555013782469E-08</v>
      </c>
      <c r="M2" s="55">
        <v>7.6821679E-05</v>
      </c>
      <c r="N2" s="56">
        <v>1.9703653631601278E-07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-3.1934548E-05</v>
      </c>
      <c r="L3" s="55">
        <v>8.53603379573512E-08</v>
      </c>
      <c r="M3" s="55">
        <v>9.000548999999999E-06</v>
      </c>
      <c r="N3" s="56">
        <v>1.2840537817400776E-07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-0.0020794740848554174</v>
      </c>
      <c r="L4" s="55">
        <v>-4.96614025549507E-05</v>
      </c>
      <c r="M4" s="55">
        <v>3.896408126100334E-08</v>
      </c>
      <c r="N4" s="56">
        <v>11.938587</v>
      </c>
    </row>
    <row r="5" spans="1:14" ht="15" customHeight="1" thickBot="1">
      <c r="A5" t="s">
        <v>18</v>
      </c>
      <c r="B5" s="59">
        <v>37965.52922453704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2812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-2.5361305</v>
      </c>
      <c r="E8" s="78">
        <v>0.020178777532357334</v>
      </c>
      <c r="F8" s="78">
        <v>4.4497532</v>
      </c>
      <c r="G8" s="78">
        <v>0.0066061404966264925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-0.1274067</v>
      </c>
      <c r="E9" s="80">
        <v>0.01974734216037682</v>
      </c>
      <c r="F9" s="114">
        <v>4.8129612</v>
      </c>
      <c r="G9" s="80">
        <v>0.02273681411842643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-0.6653364100000001</v>
      </c>
      <c r="E10" s="80">
        <v>0.008731528608969833</v>
      </c>
      <c r="F10" s="80">
        <v>-1.4528507999999998</v>
      </c>
      <c r="G10" s="80">
        <v>0.015380676693846447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15.196851</v>
      </c>
      <c r="E11" s="78">
        <v>0.009288643277745059</v>
      </c>
      <c r="F11" s="116">
        <v>2.1236669</v>
      </c>
      <c r="G11" s="78">
        <v>0.013139646412317968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-0.33353080999999996</v>
      </c>
      <c r="E12" s="80">
        <v>0.00466652937818128</v>
      </c>
      <c r="F12" s="80">
        <v>0.1768882</v>
      </c>
      <c r="G12" s="80">
        <v>0.008431334788158449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18.215943</v>
      </c>
      <c r="D13" s="83">
        <v>0.0010841600000000035</v>
      </c>
      <c r="E13" s="80">
        <v>0.005567830117146172</v>
      </c>
      <c r="F13" s="114">
        <v>0.46140955000000006</v>
      </c>
      <c r="G13" s="80">
        <v>0.004645113679441256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-0.0655353278</v>
      </c>
      <c r="E14" s="80">
        <v>0.0028563689748688226</v>
      </c>
      <c r="F14" s="80">
        <v>-0.035360935999999996</v>
      </c>
      <c r="G14" s="80">
        <v>0.005771630658250241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-0.36448992</v>
      </c>
      <c r="E15" s="78">
        <v>0.003546142533031595</v>
      </c>
      <c r="F15" s="78">
        <v>0.31331783999999996</v>
      </c>
      <c r="G15" s="78">
        <v>0.004073717081169743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</v>
      </c>
      <c r="D16" s="83">
        <v>-0.015524266</v>
      </c>
      <c r="E16" s="80">
        <v>0.0016594177196576874</v>
      </c>
      <c r="F16" s="80">
        <v>0.06461343</v>
      </c>
      <c r="G16" s="80">
        <v>0.0026549737630079066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0.2840000092983246</v>
      </c>
      <c r="D17" s="83">
        <v>-0.0024193869999999994</v>
      </c>
      <c r="E17" s="80">
        <v>0.003786780624680546</v>
      </c>
      <c r="F17" s="80">
        <v>0.050170399</v>
      </c>
      <c r="G17" s="80">
        <v>0.004008451589398823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1.5260000228881836</v>
      </c>
      <c r="D18" s="83">
        <v>0.009190483990000001</v>
      </c>
      <c r="E18" s="80">
        <v>0.0021562291496792286</v>
      </c>
      <c r="F18" s="80">
        <v>0.039139230000000004</v>
      </c>
      <c r="G18" s="80">
        <v>0.003346257974175005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0.20399999618530273</v>
      </c>
      <c r="D19" s="83">
        <v>-0.13088629000000002</v>
      </c>
      <c r="E19" s="80">
        <v>0.0009250609073973318</v>
      </c>
      <c r="F19" s="80">
        <v>-0.01020176673</v>
      </c>
      <c r="G19" s="80">
        <v>0.0021131171462102404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0.4541603</v>
      </c>
      <c r="D20" s="88">
        <v>0.00522609231</v>
      </c>
      <c r="E20" s="89">
        <v>0.002471138558632686</v>
      </c>
      <c r="F20" s="89">
        <v>0.0015073462</v>
      </c>
      <c r="G20" s="89">
        <v>0.001254378196238144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0.6388677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0.6840312262262103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-2.080067</v>
      </c>
      <c r="I25" s="101" t="s">
        <v>49</v>
      </c>
      <c r="J25" s="102"/>
      <c r="K25" s="101"/>
      <c r="L25" s="104">
        <v>15.344518285640532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5.121743985591284</v>
      </c>
      <c r="I26" s="106" t="s">
        <v>53</v>
      </c>
      <c r="J26" s="107"/>
      <c r="K26" s="106"/>
      <c r="L26" s="109">
        <v>0.4806464091656901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HCMQAP140_pos5ap2res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72</v>
      </c>
      <c r="D1" s="121" t="s">
        <v>75</v>
      </c>
      <c r="E1" s="121" t="s">
        <v>78</v>
      </c>
      <c r="F1" s="128" t="s">
        <v>81</v>
      </c>
      <c r="G1" s="163" t="s">
        <v>121</v>
      </c>
    </row>
    <row r="2" spans="1:7" ht="13.5" thickBot="1">
      <c r="A2" s="140" t="s">
        <v>90</v>
      </c>
      <c r="B2" s="132">
        <v>-2.2596932</v>
      </c>
      <c r="C2" s="123">
        <v>-3.7530531999999996</v>
      </c>
      <c r="D2" s="123">
        <v>-3.7541248</v>
      </c>
      <c r="E2" s="123">
        <v>-3.7510859</v>
      </c>
      <c r="F2" s="129">
        <v>-2.080067</v>
      </c>
      <c r="G2" s="164">
        <v>3.116899295438438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0.30579118</v>
      </c>
      <c r="C4" s="147">
        <v>-0.78289298</v>
      </c>
      <c r="D4" s="147">
        <v>-2.1341586</v>
      </c>
      <c r="E4" s="147">
        <v>-0.35414105</v>
      </c>
      <c r="F4" s="152">
        <v>-2.5361305</v>
      </c>
      <c r="G4" s="159">
        <v>-1.0810906069303696</v>
      </c>
    </row>
    <row r="5" spans="1:7" ht="12.75">
      <c r="A5" s="140" t="s">
        <v>93</v>
      </c>
      <c r="B5" s="134">
        <v>0.584996613</v>
      </c>
      <c r="C5" s="118">
        <v>-0.25059570000000003</v>
      </c>
      <c r="D5" s="118">
        <v>0.16397534</v>
      </c>
      <c r="E5" s="118">
        <v>0.30808199500000005</v>
      </c>
      <c r="F5" s="153">
        <v>-0.1274067</v>
      </c>
      <c r="G5" s="160">
        <v>0.12101695113740685</v>
      </c>
    </row>
    <row r="6" spans="1:7" ht="12.75">
      <c r="A6" s="140" t="s">
        <v>95</v>
      </c>
      <c r="B6" s="134">
        <v>0.09805687999999999</v>
      </c>
      <c r="C6" s="118">
        <v>0.6674362300000001</v>
      </c>
      <c r="D6" s="118">
        <v>1.1572751000000001</v>
      </c>
      <c r="E6" s="118">
        <v>0.45290590000000003</v>
      </c>
      <c r="F6" s="153">
        <v>-0.6653364100000001</v>
      </c>
      <c r="G6" s="160">
        <v>0.47352163805519915</v>
      </c>
    </row>
    <row r="7" spans="1:7" ht="12.75">
      <c r="A7" s="140" t="s">
        <v>97</v>
      </c>
      <c r="B7" s="133">
        <v>5.146800900000001</v>
      </c>
      <c r="C7" s="117">
        <v>4.7359181999999995</v>
      </c>
      <c r="D7" s="117">
        <v>4.602240200000001</v>
      </c>
      <c r="E7" s="117">
        <v>5.3399848</v>
      </c>
      <c r="F7" s="154">
        <v>15.196851</v>
      </c>
      <c r="G7" s="161">
        <v>6.303550843970065</v>
      </c>
    </row>
    <row r="8" spans="1:7" ht="12.75">
      <c r="A8" s="140" t="s">
        <v>99</v>
      </c>
      <c r="B8" s="134">
        <v>0.14140495</v>
      </c>
      <c r="C8" s="118">
        <v>0.46097214</v>
      </c>
      <c r="D8" s="118">
        <v>0.14861036</v>
      </c>
      <c r="E8" s="118">
        <v>0.117120122</v>
      </c>
      <c r="F8" s="153">
        <v>-0.33353080999999996</v>
      </c>
      <c r="G8" s="160">
        <v>0.1508555057296216</v>
      </c>
    </row>
    <row r="9" spans="1:7" ht="12.75">
      <c r="A9" s="140" t="s">
        <v>101</v>
      </c>
      <c r="B9" s="134">
        <v>-0.08894078799999999</v>
      </c>
      <c r="C9" s="118">
        <v>-0.23754342999999997</v>
      </c>
      <c r="D9" s="118">
        <v>-0.027982666</v>
      </c>
      <c r="E9" s="118">
        <v>0.04551827</v>
      </c>
      <c r="F9" s="153">
        <v>0.0010841600000000035</v>
      </c>
      <c r="G9" s="160">
        <v>-0.06568424125715522</v>
      </c>
    </row>
    <row r="10" spans="1:7" ht="12.75">
      <c r="A10" s="140" t="s">
        <v>103</v>
      </c>
      <c r="B10" s="134">
        <v>-0.020655604</v>
      </c>
      <c r="C10" s="118">
        <v>0.15521825000000003</v>
      </c>
      <c r="D10" s="118">
        <v>0.05448715900000001</v>
      </c>
      <c r="E10" s="118">
        <v>0.009345898383500001</v>
      </c>
      <c r="F10" s="153">
        <v>-0.0655353278</v>
      </c>
      <c r="G10" s="160">
        <v>0.04097685756248238</v>
      </c>
    </row>
    <row r="11" spans="1:7" ht="12.75">
      <c r="A11" s="140" t="s">
        <v>105</v>
      </c>
      <c r="B11" s="133">
        <v>-0.31420059000000006</v>
      </c>
      <c r="C11" s="117">
        <v>-0.12843789</v>
      </c>
      <c r="D11" s="117">
        <v>-0.006414553000000001</v>
      </c>
      <c r="E11" s="117">
        <v>-0.079788262</v>
      </c>
      <c r="F11" s="155">
        <v>-0.36448992</v>
      </c>
      <c r="G11" s="160">
        <v>-0.1457600185539716</v>
      </c>
    </row>
    <row r="12" spans="1:7" ht="12.75">
      <c r="A12" s="140" t="s">
        <v>107</v>
      </c>
      <c r="B12" s="134">
        <v>0.02786191</v>
      </c>
      <c r="C12" s="118">
        <v>-0.00046864800000000017</v>
      </c>
      <c r="D12" s="118">
        <v>0.01380549852</v>
      </c>
      <c r="E12" s="118">
        <v>-0.01513855569</v>
      </c>
      <c r="F12" s="153">
        <v>-0.015524266</v>
      </c>
      <c r="G12" s="160">
        <v>0.0015354852451656313</v>
      </c>
    </row>
    <row r="13" spans="1:7" ht="12.75">
      <c r="A13" s="140" t="s">
        <v>109</v>
      </c>
      <c r="B13" s="134">
        <v>-0.035761575000000004</v>
      </c>
      <c r="C13" s="118">
        <v>0.005095958</v>
      </c>
      <c r="D13" s="118">
        <v>-0.00540494</v>
      </c>
      <c r="E13" s="118">
        <v>-0.006695949000000001</v>
      </c>
      <c r="F13" s="153">
        <v>-0.0024193869999999994</v>
      </c>
      <c r="G13" s="160">
        <v>-0.007188421551822356</v>
      </c>
    </row>
    <row r="14" spans="1:7" ht="12.75">
      <c r="A14" s="140" t="s">
        <v>111</v>
      </c>
      <c r="B14" s="134">
        <v>0.026199830999999996</v>
      </c>
      <c r="C14" s="118">
        <v>-0.00141682224</v>
      </c>
      <c r="D14" s="118">
        <v>0.012097483800000001</v>
      </c>
      <c r="E14" s="118">
        <v>0.020244209999999995</v>
      </c>
      <c r="F14" s="153">
        <v>0.009190483990000001</v>
      </c>
      <c r="G14" s="160">
        <v>0.012460310778121608</v>
      </c>
    </row>
    <row r="15" spans="1:7" ht="12.75">
      <c r="A15" s="140" t="s">
        <v>113</v>
      </c>
      <c r="B15" s="135">
        <v>-0.1935502</v>
      </c>
      <c r="C15" s="119">
        <v>-0.17088112</v>
      </c>
      <c r="D15" s="119">
        <v>-0.17574790999999998</v>
      </c>
      <c r="E15" s="119">
        <v>-0.17140527</v>
      </c>
      <c r="F15" s="153">
        <v>-0.13088629000000002</v>
      </c>
      <c r="G15" s="160">
        <v>-0.1701290958114057</v>
      </c>
    </row>
    <row r="16" spans="1:7" ht="12.75">
      <c r="A16" s="140" t="s">
        <v>115</v>
      </c>
      <c r="B16" s="134">
        <v>4.0571000000000097E-05</v>
      </c>
      <c r="C16" s="118">
        <v>-0.007287701399999999</v>
      </c>
      <c r="D16" s="118">
        <v>-0.00422212818</v>
      </c>
      <c r="E16" s="118">
        <v>-0.0007653547799999999</v>
      </c>
      <c r="F16" s="153">
        <v>0.00522609231</v>
      </c>
      <c r="G16" s="160">
        <v>-0.0022509350095942576</v>
      </c>
    </row>
    <row r="17" spans="1:7" ht="12.75">
      <c r="A17" s="140" t="s">
        <v>92</v>
      </c>
      <c r="B17" s="133">
        <v>-0.1378888075</v>
      </c>
      <c r="C17" s="117">
        <v>-0.44480046</v>
      </c>
      <c r="D17" s="117">
        <v>2.7840610999999997</v>
      </c>
      <c r="E17" s="117">
        <v>0.23980080200000004</v>
      </c>
      <c r="F17" s="155">
        <v>4.4497532</v>
      </c>
      <c r="G17" s="160">
        <v>1.1941297632981758</v>
      </c>
    </row>
    <row r="18" spans="1:7" ht="12.75">
      <c r="A18" s="140" t="s">
        <v>94</v>
      </c>
      <c r="B18" s="134">
        <v>0.7679188100000001</v>
      </c>
      <c r="C18" s="119">
        <v>-2.7726241</v>
      </c>
      <c r="D18" s="119">
        <v>-2.8303180000000006</v>
      </c>
      <c r="E18" s="118">
        <v>-0.9323222399999999</v>
      </c>
      <c r="F18" s="156">
        <v>4.8129612</v>
      </c>
      <c r="G18" s="160">
        <v>-0.8194532073969191</v>
      </c>
    </row>
    <row r="19" spans="1:7" ht="12.75">
      <c r="A19" s="140" t="s">
        <v>96</v>
      </c>
      <c r="B19" s="134">
        <v>0.52721012</v>
      </c>
      <c r="C19" s="118">
        <v>0.23864926</v>
      </c>
      <c r="D19" s="118">
        <v>1.3269933999999999</v>
      </c>
      <c r="E19" s="118">
        <v>0.7382937</v>
      </c>
      <c r="F19" s="153">
        <v>-1.4528507999999998</v>
      </c>
      <c r="G19" s="160">
        <v>0.43698300270977053</v>
      </c>
    </row>
    <row r="20" spans="1:7" ht="12.75">
      <c r="A20" s="140" t="s">
        <v>98</v>
      </c>
      <c r="B20" s="133">
        <v>-0.06792256599999999</v>
      </c>
      <c r="C20" s="117">
        <v>0.7743097800000001</v>
      </c>
      <c r="D20" s="117">
        <v>0.5664642499999999</v>
      </c>
      <c r="E20" s="117">
        <v>-0.30263</v>
      </c>
      <c r="F20" s="154">
        <v>2.1236669</v>
      </c>
      <c r="G20" s="160">
        <v>0.5232263641718085</v>
      </c>
    </row>
    <row r="21" spans="1:7" ht="12.75">
      <c r="A21" s="140" t="s">
        <v>100</v>
      </c>
      <c r="B21" s="134">
        <v>-0.0442952648</v>
      </c>
      <c r="C21" s="118">
        <v>-0.22649195</v>
      </c>
      <c r="D21" s="118">
        <v>-0.066671379</v>
      </c>
      <c r="E21" s="118">
        <v>-0.11868002500000001</v>
      </c>
      <c r="F21" s="153">
        <v>0.1768882</v>
      </c>
      <c r="G21" s="160">
        <v>-0.08191180988214694</v>
      </c>
    </row>
    <row r="22" spans="1:7" ht="12.75">
      <c r="A22" s="140" t="s">
        <v>102</v>
      </c>
      <c r="B22" s="134">
        <v>0.14570999</v>
      </c>
      <c r="C22" s="118">
        <v>-0.31940403</v>
      </c>
      <c r="D22" s="118">
        <v>0.10726503700000001</v>
      </c>
      <c r="E22" s="118">
        <v>0.21583521</v>
      </c>
      <c r="F22" s="156">
        <v>0.46140955000000006</v>
      </c>
      <c r="G22" s="160">
        <v>0.08350962117436905</v>
      </c>
    </row>
    <row r="23" spans="1:7" ht="12.75">
      <c r="A23" s="140" t="s">
        <v>104</v>
      </c>
      <c r="B23" s="134">
        <v>0.12741677599999998</v>
      </c>
      <c r="C23" s="118">
        <v>0.085033833</v>
      </c>
      <c r="D23" s="118">
        <v>0.12721814199999998</v>
      </c>
      <c r="E23" s="118">
        <v>0.11271730799999999</v>
      </c>
      <c r="F23" s="153">
        <v>-0.035360935999999996</v>
      </c>
      <c r="G23" s="160">
        <v>0.09192903426121808</v>
      </c>
    </row>
    <row r="24" spans="1:7" ht="12.75">
      <c r="A24" s="140" t="s">
        <v>106</v>
      </c>
      <c r="B24" s="133">
        <v>0.070387407</v>
      </c>
      <c r="C24" s="117">
        <v>0.11112948</v>
      </c>
      <c r="D24" s="117">
        <v>0.051489960999999994</v>
      </c>
      <c r="E24" s="117">
        <v>-0.068442327</v>
      </c>
      <c r="F24" s="155">
        <v>0.31331783999999996</v>
      </c>
      <c r="G24" s="160">
        <v>0.07465160838900048</v>
      </c>
    </row>
    <row r="25" spans="1:7" ht="12.75">
      <c r="A25" s="140" t="s">
        <v>108</v>
      </c>
      <c r="B25" s="134">
        <v>0.01500969188</v>
      </c>
      <c r="C25" s="118">
        <v>0.0023936274</v>
      </c>
      <c r="D25" s="118">
        <v>-0.017649024000000003</v>
      </c>
      <c r="E25" s="118">
        <v>-0.0031882192999999996</v>
      </c>
      <c r="F25" s="153">
        <v>0.06461343</v>
      </c>
      <c r="G25" s="160">
        <v>0.006352410366630081</v>
      </c>
    </row>
    <row r="26" spans="1:7" ht="12.75">
      <c r="A26" s="140" t="s">
        <v>110</v>
      </c>
      <c r="B26" s="134">
        <v>0.024727281</v>
      </c>
      <c r="C26" s="118">
        <v>-0.0176969152</v>
      </c>
      <c r="D26" s="118">
        <v>0.06909845899999999</v>
      </c>
      <c r="E26" s="118">
        <v>0.074988046</v>
      </c>
      <c r="F26" s="153">
        <v>0.050170399</v>
      </c>
      <c r="G26" s="160">
        <v>0.04067869317103236</v>
      </c>
    </row>
    <row r="27" spans="1:7" ht="12.75">
      <c r="A27" s="140" t="s">
        <v>112</v>
      </c>
      <c r="B27" s="134">
        <v>0.087316473</v>
      </c>
      <c r="C27" s="118">
        <v>0.033421825</v>
      </c>
      <c r="D27" s="118">
        <v>0.032108248000000006</v>
      </c>
      <c r="E27" s="118">
        <v>0.046657013000000004</v>
      </c>
      <c r="F27" s="153">
        <v>0.039139230000000004</v>
      </c>
      <c r="G27" s="160">
        <v>0.04485871912342736</v>
      </c>
    </row>
    <row r="28" spans="1:7" ht="12.75">
      <c r="A28" s="140" t="s">
        <v>114</v>
      </c>
      <c r="B28" s="134">
        <v>0.0116307683</v>
      </c>
      <c r="C28" s="118">
        <v>0.020789793</v>
      </c>
      <c r="D28" s="118">
        <v>0.020061169</v>
      </c>
      <c r="E28" s="118">
        <v>0.0081293389</v>
      </c>
      <c r="F28" s="153">
        <v>-0.01020176673</v>
      </c>
      <c r="G28" s="160">
        <v>0.012110046005859484</v>
      </c>
    </row>
    <row r="29" spans="1:7" ht="13.5" thickBot="1">
      <c r="A29" s="141" t="s">
        <v>116</v>
      </c>
      <c r="B29" s="136">
        <v>-0.0011225324000000002</v>
      </c>
      <c r="C29" s="120">
        <v>0.00230825892</v>
      </c>
      <c r="D29" s="120">
        <v>0.0046180634499999994</v>
      </c>
      <c r="E29" s="120">
        <v>0.0021786321132</v>
      </c>
      <c r="F29" s="157">
        <v>0.0015073462</v>
      </c>
      <c r="G29" s="162">
        <v>0.0022291825738364225</v>
      </c>
    </row>
    <row r="30" spans="1:7" ht="13.5" thickTop="1">
      <c r="A30" s="142" t="s">
        <v>117</v>
      </c>
      <c r="B30" s="137">
        <v>-0.27437870186752567</v>
      </c>
      <c r="C30" s="126">
        <v>-0.05503802049280778</v>
      </c>
      <c r="D30" s="126">
        <v>0.20428840045963986</v>
      </c>
      <c r="E30" s="126">
        <v>0.4531660585881671</v>
      </c>
      <c r="F30" s="122">
        <v>0.6840312262262103</v>
      </c>
      <c r="G30" s="163" t="s">
        <v>128</v>
      </c>
    </row>
    <row r="31" spans="1:7" ht="13.5" thickBot="1">
      <c r="A31" s="143" t="s">
        <v>118</v>
      </c>
      <c r="B31" s="132">
        <v>18.405152</v>
      </c>
      <c r="C31" s="123">
        <v>18.338013</v>
      </c>
      <c r="D31" s="123">
        <v>18.286133</v>
      </c>
      <c r="E31" s="123">
        <v>18.237305</v>
      </c>
      <c r="F31" s="124">
        <v>18.215943</v>
      </c>
      <c r="G31" s="165">
        <v>-209.62</v>
      </c>
    </row>
    <row r="32" spans="1:7" ht="15.75" thickBot="1" thickTop="1">
      <c r="A32" s="144" t="s">
        <v>119</v>
      </c>
      <c r="B32" s="138">
        <v>0.414000004529953</v>
      </c>
      <c r="C32" s="127">
        <v>-0.4520000070333481</v>
      </c>
      <c r="D32" s="127">
        <v>0.14500000327825546</v>
      </c>
      <c r="E32" s="127">
        <v>-0.24499999731779099</v>
      </c>
      <c r="F32" s="125">
        <v>0.24400000274181366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4.16015625" style="166" bestFit="1" customWidth="1"/>
    <col min="2" max="3" width="14.83203125" style="166" bestFit="1" customWidth="1"/>
    <col min="4" max="4" width="16" style="166" bestFit="1" customWidth="1"/>
    <col min="5" max="5" width="22.160156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8.160156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28</v>
      </c>
    </row>
    <row r="3" spans="1:7" ht="12.75">
      <c r="A3" s="166" t="s">
        <v>133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134</v>
      </c>
    </row>
    <row r="4" spans="1:7" ht="12.75">
      <c r="A4" s="166" t="s">
        <v>135</v>
      </c>
      <c r="B4" s="166">
        <f>0.002257*1.0033</f>
        <v>0.0022644481</v>
      </c>
      <c r="C4" s="166">
        <f>0.003749*1.0033</f>
        <v>0.0037613717000000006</v>
      </c>
      <c r="D4" s="166">
        <f>0.00375*1.0033</f>
        <v>0.003762375</v>
      </c>
      <c r="E4" s="166">
        <f>0.003747*1.0033</f>
        <v>0.0037593651000000002</v>
      </c>
      <c r="F4" s="166">
        <f>0.002078*1.0033</f>
        <v>0.0020848574</v>
      </c>
      <c r="G4" s="166">
        <f>0.011684*1.0033</f>
        <v>0.0117225572</v>
      </c>
    </row>
    <row r="5" spans="1:7" ht="12.75">
      <c r="A5" s="166" t="s">
        <v>136</v>
      </c>
      <c r="B5" s="166">
        <v>8.33564</v>
      </c>
      <c r="C5" s="166">
        <v>3.951335</v>
      </c>
      <c r="D5" s="166">
        <v>0.25969</v>
      </c>
      <c r="E5" s="166">
        <v>-4.633111</v>
      </c>
      <c r="F5" s="166">
        <v>-8.305951</v>
      </c>
      <c r="G5" s="166">
        <v>3.399795</v>
      </c>
    </row>
    <row r="6" spans="1:7" ht="12.75">
      <c r="A6" s="166" t="s">
        <v>137</v>
      </c>
      <c r="B6" s="167">
        <v>-14.47299</v>
      </c>
      <c r="C6" s="167">
        <v>81.50455</v>
      </c>
      <c r="D6" s="167">
        <v>16.59691</v>
      </c>
      <c r="E6" s="167">
        <v>-16.33185</v>
      </c>
      <c r="F6" s="167">
        <v>-131.8548</v>
      </c>
      <c r="G6" s="167">
        <v>-0.0005009668</v>
      </c>
    </row>
    <row r="7" spans="1:7" ht="12.75">
      <c r="A7" s="166" t="s">
        <v>138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0.322864</v>
      </c>
      <c r="C8" s="167">
        <v>-0.7121662</v>
      </c>
      <c r="D8" s="167">
        <v>-2.105453</v>
      </c>
      <c r="E8" s="167">
        <v>-0.3657452</v>
      </c>
      <c r="F8" s="167">
        <v>-2.376427</v>
      </c>
      <c r="G8" s="167">
        <v>-1.036189</v>
      </c>
    </row>
    <row r="9" spans="1:7" ht="12.75">
      <c r="A9" s="166" t="s">
        <v>93</v>
      </c>
      <c r="B9" s="167">
        <v>0.5660085</v>
      </c>
      <c r="C9" s="167">
        <v>-0.202409</v>
      </c>
      <c r="D9" s="167">
        <v>0.1440754</v>
      </c>
      <c r="E9" s="167">
        <v>0.287061</v>
      </c>
      <c r="F9" s="167">
        <v>0.02016688</v>
      </c>
      <c r="G9" s="167">
        <v>0.139695</v>
      </c>
    </row>
    <row r="10" spans="1:7" ht="12.75">
      <c r="A10" s="166" t="s">
        <v>95</v>
      </c>
      <c r="B10" s="167">
        <v>0.0627211</v>
      </c>
      <c r="C10" s="167">
        <v>0.8190693</v>
      </c>
      <c r="D10" s="167">
        <v>1.185502</v>
      </c>
      <c r="E10" s="167">
        <v>0.430173</v>
      </c>
      <c r="F10" s="167">
        <v>-1.666407</v>
      </c>
      <c r="G10" s="167">
        <v>0.3727481</v>
      </c>
    </row>
    <row r="11" spans="1:7" ht="12.75">
      <c r="A11" s="166" t="s">
        <v>97</v>
      </c>
      <c r="B11" s="167">
        <v>5.142414</v>
      </c>
      <c r="C11" s="167">
        <v>4.75434</v>
      </c>
      <c r="D11" s="167">
        <v>4.604777</v>
      </c>
      <c r="E11" s="167">
        <v>5.327825</v>
      </c>
      <c r="F11" s="167">
        <v>15.31502</v>
      </c>
      <c r="G11" s="167">
        <v>6.320679</v>
      </c>
    </row>
    <row r="12" spans="1:7" ht="12.75">
      <c r="A12" s="166" t="s">
        <v>99</v>
      </c>
      <c r="B12" s="167">
        <v>0.1457188</v>
      </c>
      <c r="C12" s="167">
        <v>0.4709223</v>
      </c>
      <c r="D12" s="167">
        <v>0.1399516</v>
      </c>
      <c r="E12" s="167">
        <v>0.1088918</v>
      </c>
      <c r="F12" s="167">
        <v>-0.3304516</v>
      </c>
      <c r="G12" s="167">
        <v>0.1502288</v>
      </c>
    </row>
    <row r="13" spans="1:7" ht="12.75">
      <c r="A13" s="166" t="s">
        <v>101</v>
      </c>
      <c r="B13" s="167">
        <v>-0.07699697</v>
      </c>
      <c r="C13" s="167">
        <v>-0.2253065</v>
      </c>
      <c r="D13" s="167">
        <v>-0.0327834</v>
      </c>
      <c r="E13" s="167">
        <v>0.05393255</v>
      </c>
      <c r="F13" s="167">
        <v>0.0339852</v>
      </c>
      <c r="G13" s="167">
        <v>-0.05575451</v>
      </c>
    </row>
    <row r="14" spans="1:7" ht="12.75">
      <c r="A14" s="166" t="s">
        <v>103</v>
      </c>
      <c r="B14" s="167">
        <v>-0.009276751</v>
      </c>
      <c r="C14" s="167">
        <v>0.1360967</v>
      </c>
      <c r="D14" s="167">
        <v>0.05495288</v>
      </c>
      <c r="E14" s="167">
        <v>0.01784874</v>
      </c>
      <c r="F14" s="167">
        <v>0.0002850368</v>
      </c>
      <c r="G14" s="167">
        <v>0.0489591</v>
      </c>
    </row>
    <row r="15" spans="1:7" ht="12.75">
      <c r="A15" s="166" t="s">
        <v>105</v>
      </c>
      <c r="B15" s="167">
        <v>-0.3178221</v>
      </c>
      <c r="C15" s="167">
        <v>-0.1334106</v>
      </c>
      <c r="D15" s="167">
        <v>-0.006582171</v>
      </c>
      <c r="E15" s="167">
        <v>-0.08384701</v>
      </c>
      <c r="F15" s="167">
        <v>-0.3364985</v>
      </c>
      <c r="G15" s="167">
        <v>-0.1447596</v>
      </c>
    </row>
    <row r="16" spans="1:7" ht="12.75">
      <c r="A16" s="166" t="s">
        <v>107</v>
      </c>
      <c r="B16" s="167">
        <v>0.02003388</v>
      </c>
      <c r="C16" s="167">
        <v>-0.002642285</v>
      </c>
      <c r="D16" s="167">
        <v>0.005928859</v>
      </c>
      <c r="E16" s="167">
        <v>-0.018728559999999998</v>
      </c>
      <c r="F16" s="167">
        <v>-0.02329192</v>
      </c>
      <c r="G16" s="167">
        <v>-0.003916783</v>
      </c>
    </row>
    <row r="17" spans="1:7" ht="12.75">
      <c r="A17" s="166" t="s">
        <v>109</v>
      </c>
      <c r="B17" s="167">
        <v>-0.01852901</v>
      </c>
      <c r="C17" s="167">
        <v>0.001496627</v>
      </c>
      <c r="D17" s="167">
        <v>-0.007268065</v>
      </c>
      <c r="E17" s="167">
        <v>-0.002630408</v>
      </c>
      <c r="F17" s="167">
        <v>0.001877216</v>
      </c>
      <c r="G17" s="167">
        <v>-0.004456062</v>
      </c>
    </row>
    <row r="18" spans="1:7" ht="12.75">
      <c r="A18" s="166" t="s">
        <v>111</v>
      </c>
      <c r="B18" s="167">
        <v>0.01803332</v>
      </c>
      <c r="C18" s="167">
        <v>-0.008890023</v>
      </c>
      <c r="D18" s="167">
        <v>0.01075117</v>
      </c>
      <c r="E18" s="167">
        <v>0.02452251</v>
      </c>
      <c r="F18" s="167">
        <v>0.02148986</v>
      </c>
      <c r="G18" s="167">
        <v>0.01182337</v>
      </c>
    </row>
    <row r="19" spans="1:7" ht="12.75">
      <c r="A19" s="166" t="s">
        <v>113</v>
      </c>
      <c r="B19" s="167">
        <v>-0.193551</v>
      </c>
      <c r="C19" s="167">
        <v>-0.1718088</v>
      </c>
      <c r="D19" s="167">
        <v>-0.1758267</v>
      </c>
      <c r="E19" s="167">
        <v>-0.1704989</v>
      </c>
      <c r="F19" s="167">
        <v>-0.1311729</v>
      </c>
      <c r="G19" s="167">
        <v>-0.1701919</v>
      </c>
    </row>
    <row r="20" spans="1:7" ht="12.75">
      <c r="A20" s="166" t="s">
        <v>115</v>
      </c>
      <c r="B20" s="167">
        <v>0.0001728605</v>
      </c>
      <c r="C20" s="167">
        <v>-0.007415495</v>
      </c>
      <c r="D20" s="167">
        <v>-0.004246639</v>
      </c>
      <c r="E20" s="167">
        <v>-0.000601919</v>
      </c>
      <c r="F20" s="167">
        <v>0.005356376</v>
      </c>
      <c r="G20" s="167">
        <v>-0.002211897</v>
      </c>
    </row>
    <row r="21" spans="1:7" ht="12.75">
      <c r="A21" s="166" t="s">
        <v>139</v>
      </c>
      <c r="B21" s="167">
        <v>-176.7183</v>
      </c>
      <c r="C21" s="167">
        <v>98.722</v>
      </c>
      <c r="D21" s="167">
        <v>47.91684</v>
      </c>
      <c r="E21" s="167">
        <v>-10.50893</v>
      </c>
      <c r="F21" s="167">
        <v>-53.71544</v>
      </c>
      <c r="G21" s="167">
        <v>-0.002129432</v>
      </c>
    </row>
    <row r="22" spans="1:7" ht="12.75">
      <c r="A22" s="166" t="s">
        <v>140</v>
      </c>
      <c r="B22" s="167">
        <v>166.7282</v>
      </c>
      <c r="C22" s="167">
        <v>79.02834</v>
      </c>
      <c r="D22" s="167">
        <v>5.193806</v>
      </c>
      <c r="E22" s="167">
        <v>-92.66487</v>
      </c>
      <c r="F22" s="167">
        <v>-166.1343</v>
      </c>
      <c r="G22" s="167">
        <v>0</v>
      </c>
    </row>
    <row r="23" spans="1:7" ht="12.75">
      <c r="A23" s="166" t="s">
        <v>92</v>
      </c>
      <c r="B23" s="167">
        <v>-0.1574964</v>
      </c>
      <c r="C23" s="167">
        <v>-0.5272112</v>
      </c>
      <c r="D23" s="167">
        <v>2.77064</v>
      </c>
      <c r="E23" s="167">
        <v>0.2486223</v>
      </c>
      <c r="F23" s="167">
        <v>4.325625</v>
      </c>
      <c r="G23" s="167">
        <v>1.153773</v>
      </c>
    </row>
    <row r="24" spans="1:7" ht="12.75">
      <c r="A24" s="166" t="s">
        <v>94</v>
      </c>
      <c r="B24" s="167">
        <v>0.785937</v>
      </c>
      <c r="C24" s="167">
        <v>-2.734988</v>
      </c>
      <c r="D24" s="167">
        <v>-2.799479</v>
      </c>
      <c r="E24" s="167">
        <v>-0.945236</v>
      </c>
      <c r="F24" s="167">
        <v>4.935118</v>
      </c>
      <c r="G24" s="167">
        <v>-0.7872837</v>
      </c>
    </row>
    <row r="25" spans="1:7" ht="12.75">
      <c r="A25" s="166" t="s">
        <v>96</v>
      </c>
      <c r="B25" s="167">
        <v>0.06968196</v>
      </c>
      <c r="C25" s="167">
        <v>0.5191907</v>
      </c>
      <c r="D25" s="167">
        <v>1.442096</v>
      </c>
      <c r="E25" s="167">
        <v>0.7017871</v>
      </c>
      <c r="F25" s="167">
        <v>-1.945135</v>
      </c>
      <c r="G25" s="167">
        <v>0.3915197</v>
      </c>
    </row>
    <row r="26" spans="1:7" ht="12.75">
      <c r="A26" s="166" t="s">
        <v>141</v>
      </c>
      <c r="B26" s="167">
        <v>0.178527</v>
      </c>
      <c r="C26" s="167">
        <v>0.9050358</v>
      </c>
      <c r="D26" s="167">
        <v>0.5792086</v>
      </c>
      <c r="E26" s="167">
        <v>-0.4484868</v>
      </c>
      <c r="F26" s="167">
        <v>1.366693</v>
      </c>
      <c r="G26" s="167">
        <v>0.4574547</v>
      </c>
    </row>
    <row r="27" spans="1:7" ht="12.75">
      <c r="A27" s="166" t="s">
        <v>100</v>
      </c>
      <c r="B27" s="167">
        <v>-0.01822934</v>
      </c>
      <c r="C27" s="167">
        <v>-0.243089</v>
      </c>
      <c r="D27" s="167">
        <v>-0.06230596</v>
      </c>
      <c r="E27" s="167">
        <v>-0.1214036</v>
      </c>
      <c r="F27" s="167">
        <v>0.159715</v>
      </c>
      <c r="G27" s="167">
        <v>-0.08402665</v>
      </c>
    </row>
    <row r="28" spans="1:7" ht="12.75">
      <c r="A28" s="166" t="s">
        <v>102</v>
      </c>
      <c r="B28" s="167">
        <v>0.133478</v>
      </c>
      <c r="C28" s="167">
        <v>-0.3120983</v>
      </c>
      <c r="D28" s="167">
        <v>0.1090675</v>
      </c>
      <c r="E28" s="167">
        <v>0.2104875</v>
      </c>
      <c r="F28" s="167">
        <v>0.4553021</v>
      </c>
      <c r="G28" s="167">
        <v>0.081824</v>
      </c>
    </row>
    <row r="29" spans="1:7" ht="12.75">
      <c r="A29" s="166" t="s">
        <v>104</v>
      </c>
      <c r="B29" s="167">
        <v>0.1738291</v>
      </c>
      <c r="C29" s="167">
        <v>0.08572377</v>
      </c>
      <c r="D29" s="167">
        <v>0.1274881</v>
      </c>
      <c r="E29" s="167">
        <v>0.1134883</v>
      </c>
      <c r="F29" s="167">
        <v>-0.05519557</v>
      </c>
      <c r="G29" s="167">
        <v>0.09642566</v>
      </c>
    </row>
    <row r="30" spans="1:7" ht="12.75">
      <c r="A30" s="166" t="s">
        <v>106</v>
      </c>
      <c r="B30" s="167">
        <v>0.03979061</v>
      </c>
      <c r="C30" s="167">
        <v>0.1066337</v>
      </c>
      <c r="D30" s="167">
        <v>0.05203876</v>
      </c>
      <c r="E30" s="167">
        <v>-0.06455793</v>
      </c>
      <c r="F30" s="167">
        <v>0.3345468</v>
      </c>
      <c r="G30" s="167">
        <v>0.07302894</v>
      </c>
    </row>
    <row r="31" spans="1:7" ht="12.75">
      <c r="A31" s="166" t="s">
        <v>108</v>
      </c>
      <c r="B31" s="167">
        <v>0.02247139</v>
      </c>
      <c r="C31" s="167">
        <v>0.0009306832</v>
      </c>
      <c r="D31" s="167">
        <v>-0.01674225</v>
      </c>
      <c r="E31" s="167">
        <v>-0.003820305</v>
      </c>
      <c r="F31" s="167">
        <v>0.05985493</v>
      </c>
      <c r="G31" s="167">
        <v>0.006511931</v>
      </c>
    </row>
    <row r="32" spans="1:7" ht="12.75">
      <c r="A32" s="166" t="s">
        <v>110</v>
      </c>
      <c r="B32" s="167">
        <v>0.01391106</v>
      </c>
      <c r="C32" s="167">
        <v>-0.01594189</v>
      </c>
      <c r="D32" s="167">
        <v>0.06961441</v>
      </c>
      <c r="E32" s="167">
        <v>0.07340901</v>
      </c>
      <c r="F32" s="167">
        <v>0.03974643</v>
      </c>
      <c r="G32" s="167">
        <v>0.03788908</v>
      </c>
    </row>
    <row r="33" spans="1:7" ht="12.75">
      <c r="A33" s="166" t="s">
        <v>112</v>
      </c>
      <c r="B33" s="167">
        <v>0.1033328</v>
      </c>
      <c r="C33" s="167">
        <v>0.02684024</v>
      </c>
      <c r="D33" s="167">
        <v>0.02884517</v>
      </c>
      <c r="E33" s="167">
        <v>0.04592775</v>
      </c>
      <c r="F33" s="167">
        <v>0.04067853</v>
      </c>
      <c r="G33" s="167">
        <v>0.04483925</v>
      </c>
    </row>
    <row r="34" spans="1:7" ht="12.75">
      <c r="A34" s="166" t="s">
        <v>114</v>
      </c>
      <c r="B34" s="167">
        <v>-0.0109553</v>
      </c>
      <c r="C34" s="167">
        <v>0.0112774</v>
      </c>
      <c r="D34" s="167">
        <v>0.0194219</v>
      </c>
      <c r="E34" s="167">
        <v>0.0192273</v>
      </c>
      <c r="F34" s="167">
        <v>0.005060419</v>
      </c>
      <c r="G34" s="167">
        <v>0.01109749</v>
      </c>
    </row>
    <row r="35" spans="1:7" ht="12.75">
      <c r="A35" s="166" t="s">
        <v>116</v>
      </c>
      <c r="B35" s="167">
        <v>-0.001111701</v>
      </c>
      <c r="C35" s="167">
        <v>0.001871996</v>
      </c>
      <c r="D35" s="167">
        <v>0.004600316</v>
      </c>
      <c r="E35" s="167">
        <v>0.002225798</v>
      </c>
      <c r="F35" s="167">
        <v>0.0008435614</v>
      </c>
      <c r="G35" s="167">
        <v>0.002044372</v>
      </c>
    </row>
    <row r="36" spans="1:6" ht="12.75">
      <c r="A36" s="166" t="s">
        <v>142</v>
      </c>
      <c r="B36" s="167">
        <v>18.21594</v>
      </c>
      <c r="C36" s="167">
        <v>18.20374</v>
      </c>
      <c r="D36" s="167">
        <v>18.20679</v>
      </c>
      <c r="E36" s="167">
        <v>18.20374</v>
      </c>
      <c r="F36" s="167">
        <v>18.20679</v>
      </c>
    </row>
    <row r="37" spans="1:6" ht="12.75">
      <c r="A37" s="166" t="s">
        <v>143</v>
      </c>
      <c r="B37" s="167">
        <v>0.2344767</v>
      </c>
      <c r="C37" s="167">
        <v>0.2349854</v>
      </c>
      <c r="D37" s="167">
        <v>0.2293905</v>
      </c>
      <c r="E37" s="167">
        <v>0.2268473</v>
      </c>
      <c r="F37" s="167">
        <v>0.2243042</v>
      </c>
    </row>
    <row r="38" spans="1:7" ht="12.75">
      <c r="A38" s="166" t="s">
        <v>144</v>
      </c>
      <c r="B38" s="167">
        <v>2.960472E-05</v>
      </c>
      <c r="C38" s="167">
        <v>-0.0001398753</v>
      </c>
      <c r="D38" s="167">
        <v>-2.825705E-05</v>
      </c>
      <c r="E38" s="167">
        <v>2.759622E-05</v>
      </c>
      <c r="F38" s="167">
        <v>0.0002225747</v>
      </c>
      <c r="G38" s="167">
        <v>0.0002321032</v>
      </c>
    </row>
    <row r="39" spans="1:7" ht="12.75">
      <c r="A39" s="166" t="s">
        <v>145</v>
      </c>
      <c r="B39" s="167">
        <v>0.0002999275</v>
      </c>
      <c r="C39" s="167">
        <v>-0.000166722</v>
      </c>
      <c r="D39" s="167">
        <v>-8.144395E-05</v>
      </c>
      <c r="E39" s="167">
        <v>1.812091E-05</v>
      </c>
      <c r="F39" s="167">
        <v>9.501398E-05</v>
      </c>
      <c r="G39" s="167">
        <v>0.0005430092</v>
      </c>
    </row>
    <row r="40" spans="2:5" ht="12.75">
      <c r="B40" s="166" t="s">
        <v>146</v>
      </c>
      <c r="C40" s="166">
        <v>-0.003749</v>
      </c>
      <c r="D40" s="166" t="s">
        <v>147</v>
      </c>
      <c r="E40" s="166">
        <v>3.116903</v>
      </c>
    </row>
    <row r="42" ht="12.75">
      <c r="A42" s="166" t="s">
        <v>148</v>
      </c>
    </row>
    <row r="43" spans="1:6" ht="12.75">
      <c r="A43" s="166" t="s">
        <v>149</v>
      </c>
      <c r="B43" s="166">
        <v>10</v>
      </c>
      <c r="C43" s="166">
        <v>10</v>
      </c>
      <c r="D43" s="166">
        <v>10</v>
      </c>
      <c r="E43" s="166">
        <v>10</v>
      </c>
      <c r="F43" s="166">
        <v>10</v>
      </c>
    </row>
    <row r="44" spans="1:10" ht="12.75">
      <c r="A44" s="166" t="s">
        <v>150</v>
      </c>
      <c r="B44" s="166">
        <v>12.515</v>
      </c>
      <c r="C44" s="166">
        <v>12.515</v>
      </c>
      <c r="D44" s="166">
        <v>12.515</v>
      </c>
      <c r="E44" s="166">
        <v>12.515</v>
      </c>
      <c r="F44" s="166">
        <v>12.514</v>
      </c>
      <c r="J44" s="166">
        <v>12.515</v>
      </c>
    </row>
    <row r="50" spans="1:7" ht="12.75">
      <c r="A50" s="166" t="s">
        <v>151</v>
      </c>
      <c r="B50" s="166">
        <f>-0.017/(B7*B7+B22*B22)*(B21*B22+B6*B7)</f>
        <v>2.960472048438426E-05</v>
      </c>
      <c r="C50" s="166">
        <f>-0.017/(C7*C7+C22*C22)*(C21*C22+C6*C7)</f>
        <v>-0.0001398753112003314</v>
      </c>
      <c r="D50" s="166">
        <f>-0.017/(D7*D7+D22*D22)*(D21*D22+D6*D7)</f>
        <v>-2.825704740857187E-05</v>
      </c>
      <c r="E50" s="166">
        <f>-0.017/(E7*E7+E22*E22)*(E21*E22+E6*E7)</f>
        <v>2.759622790564777E-05</v>
      </c>
      <c r="F50" s="166">
        <f>-0.017/(F7*F7+F22*F22)*(F21*F22+F6*F7)</f>
        <v>0.00022257465195405675</v>
      </c>
      <c r="G50" s="166">
        <f>(B50*B$4+C50*C$4+D50*D$4+E50*E$4+F50*F$4)/SUM(B$4:F$4)</f>
        <v>1.524021169411705E-07</v>
      </c>
    </row>
    <row r="51" spans="1:7" ht="12.75">
      <c r="A51" s="166" t="s">
        <v>152</v>
      </c>
      <c r="B51" s="166">
        <f>-0.017/(B7*B7+B22*B22)*(B21*B7-B6*B22)</f>
        <v>0.00029992751582421355</v>
      </c>
      <c r="C51" s="166">
        <f>-0.017/(C7*C7+C22*C22)*(C21*C7-C6*C22)</f>
        <v>-0.00016672198863488546</v>
      </c>
      <c r="D51" s="166">
        <f>-0.017/(D7*D7+D22*D22)*(D21*D7-D6*D22)</f>
        <v>-8.144395183776271E-05</v>
      </c>
      <c r="E51" s="166">
        <f>-0.017/(E7*E7+E22*E22)*(E21*E7-E6*E22)</f>
        <v>1.8120901087136723E-05</v>
      </c>
      <c r="F51" s="166">
        <f>-0.017/(F7*F7+F22*F22)*(F21*F7-F6*F22)</f>
        <v>9.501397640001308E-05</v>
      </c>
      <c r="G51" s="166">
        <f>(B51*B$4+C51*C$4+D51*D$4+E51*E$4+F51*F$4)/SUM(B$4:F$4)</f>
        <v>7.58546162902418E-07</v>
      </c>
    </row>
    <row r="58" ht="12.75">
      <c r="A58" s="166" t="s">
        <v>154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156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159</v>
      </c>
      <c r="B62" s="166">
        <f>B7+(2/0.017)*(B8*B50-B23*B51)</f>
        <v>10000.006681859115</v>
      </c>
      <c r="C62" s="166">
        <f>C7+(2/0.017)*(C8*C50-C23*C51)</f>
        <v>10000.00137844343</v>
      </c>
      <c r="D62" s="166">
        <f>D7+(2/0.017)*(D8*D50-D23*D51)</f>
        <v>10000.033546559524</v>
      </c>
      <c r="E62" s="166">
        <f>E7+(2/0.017)*(E8*E50-E23*E51)</f>
        <v>9999.99828253553</v>
      </c>
      <c r="F62" s="166">
        <f>F7+(2/0.017)*(F8*F50-F23*F51)</f>
        <v>9999.889420324225</v>
      </c>
    </row>
    <row r="63" spans="1:6" ht="12.75">
      <c r="A63" s="166" t="s">
        <v>160</v>
      </c>
      <c r="B63" s="166">
        <f>B8+(3/0.017)*(B9*B50-B24*B51)</f>
        <v>0.28422265731116775</v>
      </c>
      <c r="C63" s="166">
        <f>C8+(3/0.017)*(C9*C50-C24*C51)</f>
        <v>-0.787637485244906</v>
      </c>
      <c r="D63" s="166">
        <f>D8+(3/0.017)*(D9*D50-D24*D51)</f>
        <v>-2.146406843221477</v>
      </c>
      <c r="E63" s="166">
        <f>E8+(3/0.017)*(E9*E50-E24*E51)</f>
        <v>-0.3613245537343252</v>
      </c>
      <c r="F63" s="166">
        <f>F8+(3/0.017)*(F9*F50-F24*F51)</f>
        <v>-2.4583828615681673</v>
      </c>
    </row>
    <row r="64" spans="1:6" ht="12.75">
      <c r="A64" s="166" t="s">
        <v>161</v>
      </c>
      <c r="B64" s="166">
        <f>B9+(4/0.017)*(B10*B50-B25*B51)</f>
        <v>0.5615278655231555</v>
      </c>
      <c r="C64" s="166">
        <f>C9+(4/0.017)*(C10*C50-C25*C51)</f>
        <v>-0.20899889817585868</v>
      </c>
      <c r="D64" s="166">
        <f>D9+(4/0.017)*(D10*D50-D25*D51)</f>
        <v>0.16382862610646434</v>
      </c>
      <c r="E64" s="166">
        <f>E9+(4/0.017)*(E10*E50-E25*E51)</f>
        <v>0.2868619735349477</v>
      </c>
      <c r="F64" s="166">
        <f>F9+(4/0.017)*(F10*F50-F25*F51)</f>
        <v>-0.0236178134244622</v>
      </c>
    </row>
    <row r="65" spans="1:6" ht="12.75">
      <c r="A65" s="166" t="s">
        <v>162</v>
      </c>
      <c r="B65" s="166">
        <f>B10+(5/0.017)*(B11*B50-B26*B51)</f>
        <v>0.0917489145492456</v>
      </c>
      <c r="C65" s="166">
        <f>C10+(5/0.017)*(C11*C50-C26*C51)</f>
        <v>0.6678559415616414</v>
      </c>
      <c r="D65" s="166">
        <f>D10+(5/0.017)*(D11*D50-D26*D51)</f>
        <v>1.1611065986257403</v>
      </c>
      <c r="E65" s="166">
        <f>E10+(5/0.017)*(E11*E50-E26*E51)</f>
        <v>0.47580678173032187</v>
      </c>
      <c r="F65" s="166">
        <f>F10+(5/0.017)*(F11*F50-F26*F51)</f>
        <v>-0.7020304383172483</v>
      </c>
    </row>
    <row r="66" spans="1:6" ht="12.75">
      <c r="A66" s="166" t="s">
        <v>163</v>
      </c>
      <c r="B66" s="166">
        <f>B11+(6/0.017)*(B12*B50-B27*B51)</f>
        <v>5.145866274707518</v>
      </c>
      <c r="C66" s="166">
        <f>C11+(6/0.017)*(C12*C50-C27*C51)</f>
        <v>4.716787523026256</v>
      </c>
      <c r="D66" s="166">
        <f>D11+(6/0.017)*(D12*D50-D27*D51)</f>
        <v>4.601590272022983</v>
      </c>
      <c r="E66" s="166">
        <f>E11+(6/0.017)*(E12*E50-E27*E51)</f>
        <v>5.3296620396083805</v>
      </c>
      <c r="F66" s="166">
        <f>F11+(6/0.017)*(F12*F50-F27*F51)</f>
        <v>15.28370518572998</v>
      </c>
    </row>
    <row r="67" spans="1:6" ht="12.75">
      <c r="A67" s="166" t="s">
        <v>164</v>
      </c>
      <c r="B67" s="166">
        <f>B12+(7/0.017)*(B13*B50-B28*B51)</f>
        <v>0.12829571816910282</v>
      </c>
      <c r="C67" s="166">
        <f>C12+(7/0.017)*(C13*C50-C28*C51)</f>
        <v>0.4624733690024549</v>
      </c>
      <c r="D67" s="166">
        <f>D12+(7/0.017)*(D13*D50-D28*D51)</f>
        <v>0.1439907030667974</v>
      </c>
      <c r="E67" s="166">
        <f>E12+(7/0.017)*(E13*E50-E28*E51)</f>
        <v>0.1079340813186046</v>
      </c>
      <c r="F67" s="166">
        <f>F12+(7/0.017)*(F13*F50-F28*F51)</f>
        <v>-0.3451498783799301</v>
      </c>
    </row>
    <row r="68" spans="1:6" ht="12.75">
      <c r="A68" s="166" t="s">
        <v>165</v>
      </c>
      <c r="B68" s="166">
        <f>B13+(8/0.017)*(B14*B50-B29*B51)</f>
        <v>-0.10166085977003154</v>
      </c>
      <c r="C68" s="166">
        <f>C13+(8/0.017)*(C14*C50-C29*C51)</f>
        <v>-0.22753922040383934</v>
      </c>
      <c r="D68" s="166">
        <f>D13+(8/0.017)*(D14*D50-D29*D51)</f>
        <v>-0.028627951274875142</v>
      </c>
      <c r="E68" s="166">
        <f>E13+(8/0.017)*(E14*E50-E29*E51)</f>
        <v>0.053196572417892406</v>
      </c>
      <c r="F68" s="166">
        <f>F13+(8/0.017)*(F14*F50-F29*F51)</f>
        <v>0.036482984730315</v>
      </c>
    </row>
    <row r="69" spans="1:6" ht="12.75">
      <c r="A69" s="166" t="s">
        <v>166</v>
      </c>
      <c r="B69" s="166">
        <f>B14+(9/0.017)*(B15*B50-B30*B51)</f>
        <v>-0.020576162717777128</v>
      </c>
      <c r="C69" s="166">
        <f>C14+(9/0.017)*(C15*C50-C30*C51)</f>
        <v>0.15538795208278047</v>
      </c>
      <c r="D69" s="166">
        <f>D14+(9/0.017)*(D15*D50-D30*D51)</f>
        <v>0.05729512204883629</v>
      </c>
      <c r="E69" s="166">
        <f>E14+(9/0.017)*(E15*E50-E30*E51)</f>
        <v>0.017243085882398736</v>
      </c>
      <c r="F69" s="166">
        <f>F14+(9/0.017)*(F15*F50-F30*F51)</f>
        <v>-0.05619401758377403</v>
      </c>
    </row>
    <row r="70" spans="1:6" ht="12.75">
      <c r="A70" s="166" t="s">
        <v>167</v>
      </c>
      <c r="B70" s="166">
        <f>B15+(10/0.017)*(B16*B50-B31*B51)</f>
        <v>-0.3214378004483526</v>
      </c>
      <c r="C70" s="166">
        <f>C15+(10/0.017)*(C16*C50-C31*C51)</f>
        <v>-0.133101920123207</v>
      </c>
      <c r="D70" s="166">
        <f>D15+(10/0.017)*(D16*D50-D31*D51)</f>
        <v>-0.007482810442645601</v>
      </c>
      <c r="E70" s="166">
        <f>E15+(10/0.017)*(E16*E50-E31*E51)</f>
        <v>-0.08411031014180995</v>
      </c>
      <c r="F70" s="166">
        <f>F15+(10/0.017)*(F16*F50-F31*F51)</f>
        <v>-0.34289335052575654</v>
      </c>
    </row>
    <row r="71" spans="1:6" ht="12.75">
      <c r="A71" s="166" t="s">
        <v>168</v>
      </c>
      <c r="B71" s="166">
        <f>B16+(11/0.017)*(B17*B50-B32*B51)</f>
        <v>0.016979208580469213</v>
      </c>
      <c r="C71" s="166">
        <f>C16+(11/0.017)*(C17*C50-C32*C51)</f>
        <v>-0.004497535145795208</v>
      </c>
      <c r="D71" s="166">
        <f>D16+(11/0.017)*(D17*D50-D32*D51)</f>
        <v>0.009730359813988608</v>
      </c>
      <c r="E71" s="166">
        <f>E16+(11/0.017)*(E17*E50-E32*E51)</f>
        <v>-0.019636271425026008</v>
      </c>
      <c r="F71" s="166">
        <f>F16+(11/0.017)*(F17*F50-F32*F51)</f>
        <v>-0.025465161312104943</v>
      </c>
    </row>
    <row r="72" spans="1:6" ht="12.75">
      <c r="A72" s="166" t="s">
        <v>169</v>
      </c>
      <c r="B72" s="166">
        <f>B17+(12/0.017)*(B18*B50-B33*B51)</f>
        <v>-0.040029112547638704</v>
      </c>
      <c r="C72" s="166">
        <f>C17+(12/0.017)*(C18*C50-C33*C51)</f>
        <v>0.005533111415487554</v>
      </c>
      <c r="D72" s="166">
        <f>D17+(12/0.017)*(D18*D50-D33*D51)</f>
        <v>-0.005824205012345086</v>
      </c>
      <c r="E72" s="166">
        <f>E17+(12/0.017)*(E18*E50-E33*E51)</f>
        <v>-0.0027401892518538</v>
      </c>
      <c r="F72" s="166">
        <f>F17+(12/0.017)*(F18*F50-F33*F51)</f>
        <v>0.002525264861624128</v>
      </c>
    </row>
    <row r="73" spans="1:6" ht="12.75">
      <c r="A73" s="166" t="s">
        <v>170</v>
      </c>
      <c r="B73" s="166">
        <f>B18+(13/0.017)*(B19*B50-B34*B51)</f>
        <v>0.016164204975015722</v>
      </c>
      <c r="C73" s="166">
        <f>C18+(13/0.017)*(C19*C50-C34*C51)</f>
        <v>0.010925035763566189</v>
      </c>
      <c r="D73" s="166">
        <f>D18+(13/0.017)*(D19*D50-D34*D51)</f>
        <v>0.01576010034795751</v>
      </c>
      <c r="E73" s="166">
        <f>E18+(13/0.017)*(E19*E50-E34*E51)</f>
        <v>0.020658036320826214</v>
      </c>
      <c r="F73" s="166">
        <f>F18+(13/0.017)*(F19*F50-F34*F51)</f>
        <v>-0.001203990013628125</v>
      </c>
    </row>
    <row r="74" spans="1:6" ht="12.75">
      <c r="A74" s="166" t="s">
        <v>171</v>
      </c>
      <c r="B74" s="166">
        <f>B19+(14/0.017)*(B20*B50-B35*B51)</f>
        <v>-0.1932721964185433</v>
      </c>
      <c r="C74" s="166">
        <f>C19+(14/0.017)*(C20*C50-C35*C51)</f>
        <v>-0.17069757259215737</v>
      </c>
      <c r="D74" s="166">
        <f>D19+(14/0.017)*(D20*D50-D35*D51)</f>
        <v>-0.1754193284988179</v>
      </c>
      <c r="E74" s="166">
        <f>E19+(14/0.017)*(E20*E50-E35*E51)</f>
        <v>-0.17054579519001398</v>
      </c>
      <c r="F74" s="166">
        <f>F19+(14/0.017)*(F20*F50-F35*F51)</f>
        <v>-0.13025709955213124</v>
      </c>
    </row>
    <row r="75" spans="1:6" ht="12.75">
      <c r="A75" s="166" t="s">
        <v>172</v>
      </c>
      <c r="B75" s="167">
        <f>B20</f>
        <v>0.0001728605</v>
      </c>
      <c r="C75" s="167">
        <f>C20</f>
        <v>-0.007415495</v>
      </c>
      <c r="D75" s="167">
        <f>D20</f>
        <v>-0.004246639</v>
      </c>
      <c r="E75" s="167">
        <f>E20</f>
        <v>-0.000601919</v>
      </c>
      <c r="F75" s="167">
        <f>F20</f>
        <v>0.005356376</v>
      </c>
    </row>
    <row r="78" ht="12.75">
      <c r="A78" s="166" t="s">
        <v>154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173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174</v>
      </c>
      <c r="B82" s="166">
        <f>B22+(2/0.017)*(B8*B51+B23*B50)</f>
        <v>166.7390439012435</v>
      </c>
      <c r="C82" s="166">
        <f>C22+(2/0.017)*(C8*C51+C23*C50)</f>
        <v>79.05098442303186</v>
      </c>
      <c r="D82" s="166">
        <f>D22+(2/0.017)*(D8*D51+D23*D50)</f>
        <v>5.204769094929011</v>
      </c>
      <c r="E82" s="166">
        <f>E22+(2/0.017)*(E8*E51+E23*E50)</f>
        <v>-92.66484254058106</v>
      </c>
      <c r="F82" s="166">
        <f>F22+(2/0.017)*(F8*F51+F23*F50)</f>
        <v>-166.04759638823947</v>
      </c>
    </row>
    <row r="83" spans="1:6" ht="12.75">
      <c r="A83" s="166" t="s">
        <v>175</v>
      </c>
      <c r="B83" s="166">
        <f>B23+(3/0.017)*(B9*B51+B24*B50)</f>
        <v>-0.12343246437463679</v>
      </c>
      <c r="C83" s="166">
        <f>C23+(3/0.017)*(C9*C51+C24*C50)</f>
        <v>-0.45374590671292286</v>
      </c>
      <c r="D83" s="166">
        <f>D23+(3/0.017)*(D9*D51+D24*D50)</f>
        <v>2.782528989567711</v>
      </c>
      <c r="E83" s="166">
        <f>E23+(3/0.017)*(E9*E51+E24*E50)</f>
        <v>0.24493703927759147</v>
      </c>
      <c r="F83" s="166">
        <f>F23+(3/0.017)*(F9*F51+F24*F50)</f>
        <v>4.519804112940456</v>
      </c>
    </row>
    <row r="84" spans="1:6" ht="12.75">
      <c r="A84" s="166" t="s">
        <v>176</v>
      </c>
      <c r="B84" s="166">
        <f>B24+(4/0.017)*(B10*B51+B25*B50)</f>
        <v>0.7908486938026744</v>
      </c>
      <c r="C84" s="166">
        <f>C24+(4/0.017)*(C10*C51+C25*C50)</f>
        <v>-2.7842065466495534</v>
      </c>
      <c r="D84" s="166">
        <f>D24+(4/0.017)*(D10*D51+D25*D50)</f>
        <v>-2.831785198313243</v>
      </c>
      <c r="E84" s="166">
        <f>E24+(4/0.017)*(E10*E51+E25*E50)</f>
        <v>-0.938844988438541</v>
      </c>
      <c r="F84" s="166">
        <f>F24+(4/0.017)*(F10*F51+F25*F50)</f>
        <v>4.7959957174118895</v>
      </c>
    </row>
    <row r="85" spans="1:6" ht="12.75">
      <c r="A85" s="166" t="s">
        <v>177</v>
      </c>
      <c r="B85" s="166">
        <f>B25+(5/0.017)*(B11*B51+B26*B50)</f>
        <v>0.524869224203992</v>
      </c>
      <c r="C85" s="166">
        <f>C25+(5/0.017)*(C11*C51+C26*C50)</f>
        <v>0.24882446952387582</v>
      </c>
      <c r="D85" s="166">
        <f>D25+(5/0.017)*(D11*D51+D26*D50)</f>
        <v>1.3269789526231501</v>
      </c>
      <c r="E85" s="166">
        <f>E25+(5/0.017)*(E11*E51+E26*E50)</f>
        <v>0.7265425252614999</v>
      </c>
      <c r="F85" s="166">
        <f>F25+(5/0.017)*(F11*F51+F26*F50)</f>
        <v>-1.427684362456243</v>
      </c>
    </row>
    <row r="86" spans="1:6" ht="12.75">
      <c r="A86" s="166" t="s">
        <v>178</v>
      </c>
      <c r="B86" s="166">
        <f>B26+(6/0.017)*(B12*B51+B27*B50)</f>
        <v>0.19376184818031902</v>
      </c>
      <c r="C86" s="166">
        <f>C26+(6/0.017)*(C12*C51+C27*C50)</f>
        <v>0.8893260519444223</v>
      </c>
      <c r="D86" s="166">
        <f>D26+(6/0.017)*(D12*D51+D27*D50)</f>
        <v>0.5758070839160725</v>
      </c>
      <c r="E86" s="166">
        <f>E26+(6/0.017)*(E12*E51+E27*E50)</f>
        <v>-0.4489728225448821</v>
      </c>
      <c r="F86" s="166">
        <f>F26+(6/0.017)*(F12*F51+F27*F50)</f>
        <v>1.3681580552987396</v>
      </c>
    </row>
    <row r="87" spans="1:6" ht="12.75">
      <c r="A87" s="166" t="s">
        <v>179</v>
      </c>
      <c r="B87" s="166">
        <f>B27+(7/0.017)*(B13*B51+B28*B50)</f>
        <v>-0.02611131161181988</v>
      </c>
      <c r="C87" s="166">
        <f>C27+(7/0.017)*(C13*C51+C28*C50)</f>
        <v>-0.20964613164766344</v>
      </c>
      <c r="D87" s="166">
        <f>D27+(7/0.017)*(D13*D51+D28*D50)</f>
        <v>-0.062475572416052595</v>
      </c>
      <c r="E87" s="166">
        <f>E27+(7/0.017)*(E13*E51+E28*E50)</f>
        <v>-0.11860937811902826</v>
      </c>
      <c r="F87" s="166">
        <f>F27+(7/0.017)*(F13*F51+F28*F50)</f>
        <v>0.20277231929561212</v>
      </c>
    </row>
    <row r="88" spans="1:6" ht="12.75">
      <c r="A88" s="166" t="s">
        <v>180</v>
      </c>
      <c r="B88" s="166">
        <f>B28+(8/0.017)*(B14*B51+B29*B50)</f>
        <v>0.13459038072244814</v>
      </c>
      <c r="C88" s="166">
        <f>C28+(8/0.017)*(C14*C51+C29*C50)</f>
        <v>-0.3284187477537228</v>
      </c>
      <c r="D88" s="166">
        <f>D28+(8/0.017)*(D14*D51+D29*D50)</f>
        <v>0.10526608023633172</v>
      </c>
      <c r="E88" s="166">
        <f>E28+(8/0.017)*(E14*E51+E29*E50)</f>
        <v>0.21211351611458568</v>
      </c>
      <c r="F88" s="166">
        <f>F28+(8/0.017)*(F14*F51+F29*F50)</f>
        <v>0.4495336047988859</v>
      </c>
    </row>
    <row r="89" spans="1:6" ht="12.75">
      <c r="A89" s="166" t="s">
        <v>181</v>
      </c>
      <c r="B89" s="166">
        <f>B29+(9/0.017)*(B15*B51+B30*B50)</f>
        <v>0.12398731015525088</v>
      </c>
      <c r="C89" s="166">
        <f>C29+(9/0.017)*(C15*C51+C30*C50)</f>
        <v>0.08960280100501614</v>
      </c>
      <c r="D89" s="166">
        <f>D29+(9/0.017)*(D15*D51+D30*D50)</f>
        <v>0.12699342628150456</v>
      </c>
      <c r="E89" s="166">
        <f>E29+(9/0.017)*(E15*E51+E30*E50)</f>
        <v>0.11174074420490993</v>
      </c>
      <c r="F89" s="166">
        <f>F29+(9/0.017)*(F15*F51+F30*F50)</f>
        <v>-0.03270108804045102</v>
      </c>
    </row>
    <row r="90" spans="1:6" ht="12.75">
      <c r="A90" s="166" t="s">
        <v>182</v>
      </c>
      <c r="B90" s="166">
        <f>B30+(10/0.017)*(B16*B51+B31*B50)</f>
        <v>0.0437164753415094</v>
      </c>
      <c r="C90" s="166">
        <f>C30+(10/0.017)*(C16*C51+C31*C50)</f>
        <v>0.106816257298536</v>
      </c>
      <c r="D90" s="166">
        <f>D30+(10/0.017)*(D16*D51+D31*D50)</f>
        <v>0.05203300520301605</v>
      </c>
      <c r="E90" s="166">
        <f>E30+(10/0.017)*(E16*E51+E31*E50)</f>
        <v>-0.06481957964159622</v>
      </c>
      <c r="F90" s="166">
        <f>F30+(10/0.017)*(F16*F51+F31*F50)</f>
        <v>0.34108158369134906</v>
      </c>
    </row>
    <row r="91" spans="1:6" ht="12.75">
      <c r="A91" s="166" t="s">
        <v>183</v>
      </c>
      <c r="B91" s="166">
        <f>B31+(11/0.017)*(B17*B51+B32*B50)</f>
        <v>0.01914193141956202</v>
      </c>
      <c r="C91" s="166">
        <f>C31+(11/0.017)*(C17*C51+C32*C50)</f>
        <v>0.002212090149826745</v>
      </c>
      <c r="D91" s="166">
        <f>D31+(11/0.017)*(D17*D51+D32*D50)</f>
        <v>-0.01763205795450802</v>
      </c>
      <c r="E91" s="166">
        <f>E31+(11/0.017)*(E17*E51+E32*E50)</f>
        <v>-0.0025403279130521888</v>
      </c>
      <c r="F91" s="166">
        <f>F31+(11/0.017)*(F17*F51+F32*F50)</f>
        <v>0.06569457737554518</v>
      </c>
    </row>
    <row r="92" spans="1:6" ht="12.75">
      <c r="A92" s="166" t="s">
        <v>184</v>
      </c>
      <c r="B92" s="166">
        <f>B32+(12/0.017)*(B18*B51+B33*B50)</f>
        <v>0.01988835002155192</v>
      </c>
      <c r="C92" s="166">
        <f>C32+(12/0.017)*(C18*C51+C33*C50)</f>
        <v>-0.017545742665262386</v>
      </c>
      <c r="D92" s="166">
        <f>D32+(12/0.017)*(D18*D51+D33*D50)</f>
        <v>0.06842097674738029</v>
      </c>
      <c r="E92" s="166">
        <f>E32+(12/0.017)*(E18*E51+E33*E50)</f>
        <v>0.074617341271279</v>
      </c>
      <c r="F92" s="166">
        <f>F32+(12/0.017)*(F18*F51+F33*F50)</f>
        <v>0.047578792381858054</v>
      </c>
    </row>
    <row r="93" spans="1:6" ht="12.75">
      <c r="A93" s="166" t="s">
        <v>185</v>
      </c>
      <c r="B93" s="166">
        <f>B33+(13/0.017)*(B19*B51+B34*B50)</f>
        <v>0.058692635898529764</v>
      </c>
      <c r="C93" s="166">
        <f>C33+(13/0.017)*(C19*C51+C34*C50)</f>
        <v>0.047538438503750294</v>
      </c>
      <c r="D93" s="166">
        <f>D33+(13/0.017)*(D19*D51+D34*D50)</f>
        <v>0.03937609968163922</v>
      </c>
      <c r="E93" s="166">
        <f>E33+(13/0.017)*(E19*E51+E34*E50)</f>
        <v>0.0439708731915165</v>
      </c>
      <c r="F93" s="166">
        <f>F33+(13/0.017)*(F19*F51+F34*F50)</f>
        <v>0.03200910695562885</v>
      </c>
    </row>
    <row r="94" spans="1:6" ht="12.75">
      <c r="A94" s="166" t="s">
        <v>186</v>
      </c>
      <c r="B94" s="166">
        <f>B34+(14/0.017)*(B20*B51+B35*B50)</f>
        <v>-0.01093970727519136</v>
      </c>
      <c r="C94" s="166">
        <f>C34+(14/0.017)*(C20*C51+C35*C50)</f>
        <v>0.012079912982391049</v>
      </c>
      <c r="D94" s="166">
        <f>D34+(14/0.017)*(D20*D51+D35*D50)</f>
        <v>0.019599676706373373</v>
      </c>
      <c r="E94" s="166">
        <f>E34+(14/0.017)*(E20*E51+E35*E50)</f>
        <v>0.019268901670532853</v>
      </c>
      <c r="F94" s="166">
        <f>F34+(14/0.017)*(F20*F51+F35*F50)</f>
        <v>0.00563416038529686</v>
      </c>
    </row>
    <row r="95" spans="1:6" ht="12.75">
      <c r="A95" s="166" t="s">
        <v>187</v>
      </c>
      <c r="B95" s="167">
        <f>B35</f>
        <v>-0.001111701</v>
      </c>
      <c r="C95" s="167">
        <f>C35</f>
        <v>0.001871996</v>
      </c>
      <c r="D95" s="167">
        <f>D35</f>
        <v>0.004600316</v>
      </c>
      <c r="E95" s="167">
        <f>E35</f>
        <v>0.002225798</v>
      </c>
      <c r="F95" s="167">
        <f>F35</f>
        <v>0.0008435614</v>
      </c>
    </row>
    <row r="98" ht="12.75">
      <c r="A98" s="166" t="s">
        <v>155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157</v>
      </c>
      <c r="H100" s="166" t="s">
        <v>158</v>
      </c>
      <c r="I100" s="166" t="s">
        <v>153</v>
      </c>
      <c r="K100" s="166" t="s">
        <v>188</v>
      </c>
    </row>
    <row r="101" spans="1:9" ht="12.75">
      <c r="A101" s="166" t="s">
        <v>156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159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10000.000000000002</v>
      </c>
    </row>
    <row r="103" spans="1:11" ht="12.75">
      <c r="A103" s="166" t="s">
        <v>160</v>
      </c>
      <c r="B103" s="166">
        <f>B63*10000/B62</f>
        <v>0.28422246739771934</v>
      </c>
      <c r="C103" s="166">
        <f>C63*10000/C62</f>
        <v>-0.7876373766735492</v>
      </c>
      <c r="D103" s="166">
        <f>D63*10000/D62</f>
        <v>-2.146399642789139</v>
      </c>
      <c r="E103" s="166">
        <f>E63*10000/E62</f>
        <v>-0.3613246157905442</v>
      </c>
      <c r="F103" s="166">
        <f>F63*10000/F62</f>
        <v>-2.4584100465867547</v>
      </c>
      <c r="G103" s="166">
        <f>AVERAGE(C103:E103)</f>
        <v>-1.0984538784177442</v>
      </c>
      <c r="H103" s="166">
        <f>STDEV(C103:E103)</f>
        <v>0.9322437376141941</v>
      </c>
      <c r="I103" s="166">
        <f>(B103*B4+C103*C4+D103*D4+E103*E4+F103*F4)/SUM(B4:F4)</f>
        <v>-1.0797009491602723</v>
      </c>
      <c r="K103" s="166">
        <f>(LN(H103)+LN(H123))/2-LN(K114*K115^3)</f>
        <v>-3.647440465469127</v>
      </c>
    </row>
    <row r="104" spans="1:11" ht="12.75">
      <c r="A104" s="166" t="s">
        <v>161</v>
      </c>
      <c r="B104" s="166">
        <f>B64*10000/B62</f>
        <v>0.5615274903183975</v>
      </c>
      <c r="C104" s="166">
        <f>C64*10000/C62</f>
        <v>-0.20899886936654682</v>
      </c>
      <c r="D104" s="166">
        <f>D64*10000/D62</f>
        <v>0.1638280765196323</v>
      </c>
      <c r="E104" s="166">
        <f>E64*10000/E62</f>
        <v>0.2868620228024809</v>
      </c>
      <c r="F104" s="166">
        <f>F64*10000/F62</f>
        <v>-0.023618074592365285</v>
      </c>
      <c r="G104" s="166">
        <f>AVERAGE(C104:E104)</f>
        <v>0.08056374331852213</v>
      </c>
      <c r="H104" s="166">
        <f>STDEV(C104:E104)</f>
        <v>0.25820383030318345</v>
      </c>
      <c r="I104" s="166">
        <f>(B104*B4+C104*C4+D104*D4+E104*E4+F104*F4)/SUM(B4:F4)</f>
        <v>0.1363185746601644</v>
      </c>
      <c r="K104" s="166">
        <f>(LN(H104)+LN(H124))/2-LN(K114*K115^4)</f>
        <v>-3.9260315606841094</v>
      </c>
    </row>
    <row r="105" spans="1:11" ht="12.75">
      <c r="A105" s="166" t="s">
        <v>162</v>
      </c>
      <c r="B105" s="166">
        <f>B65*10000/B62</f>
        <v>0.09174885324395446</v>
      </c>
      <c r="C105" s="166">
        <f>C65*10000/C62</f>
        <v>0.6678558495014906</v>
      </c>
      <c r="D105" s="166">
        <f>D65*10000/D62</f>
        <v>1.1611027035256447</v>
      </c>
      <c r="E105" s="166">
        <f>E65*10000/E62</f>
        <v>0.4758068634484601</v>
      </c>
      <c r="F105" s="166">
        <f>F65*10000/F62</f>
        <v>-0.702038201432918</v>
      </c>
      <c r="G105" s="166">
        <f>AVERAGE(C105:E105)</f>
        <v>0.7682551388251985</v>
      </c>
      <c r="H105" s="166">
        <f>STDEV(C105:E105)</f>
        <v>0.35350758136043214</v>
      </c>
      <c r="I105" s="166">
        <f>(B105*B4+C105*C4+D105*D4+E105*E4+F105*F4)/SUM(B4:F4)</f>
        <v>0.4742325148923457</v>
      </c>
      <c r="K105" s="166">
        <f>(LN(H105)+LN(H125))/2-LN(K114*K115^5)</f>
        <v>-3.5237230017930803</v>
      </c>
    </row>
    <row r="106" spans="1:11" ht="12.75">
      <c r="A106" s="166" t="s">
        <v>163</v>
      </c>
      <c r="B106" s="166">
        <f>B66*10000/B62</f>
        <v>5.145862836314468</v>
      </c>
      <c r="C106" s="166">
        <f>C66*10000/C62</f>
        <v>4.716786872843868</v>
      </c>
      <c r="D106" s="166">
        <f>D66*10000/D62</f>
        <v>4.6015748353225705</v>
      </c>
      <c r="E106" s="166">
        <f>E66*10000/E62</f>
        <v>5.329662954959057</v>
      </c>
      <c r="F106" s="166">
        <f>F66*10000/F62</f>
        <v>15.28387419431528</v>
      </c>
      <c r="G106" s="166">
        <f>AVERAGE(C106:E106)</f>
        <v>4.8826748877084984</v>
      </c>
      <c r="H106" s="166">
        <f>STDEV(C106:E106)</f>
        <v>0.39136581684626753</v>
      </c>
      <c r="I106" s="166">
        <f>(B106*B4+C106*C4+D106*D4+E106*E4+F106*F4)/SUM(B4:F4)</f>
        <v>6.307906405771889</v>
      </c>
      <c r="K106" s="166">
        <f>(LN(H106)+LN(H126))/2-LN(K114*K115^6)</f>
        <v>-2.7520474334903424</v>
      </c>
    </row>
    <row r="107" spans="1:11" ht="12.75">
      <c r="A107" s="166" t="s">
        <v>164</v>
      </c>
      <c r="B107" s="166">
        <f>B67*10000/B62</f>
        <v>0.1282956324437687</v>
      </c>
      <c r="C107" s="166">
        <f>C67*10000/C62</f>
        <v>0.46247330525312597</v>
      </c>
      <c r="D107" s="166">
        <f>D67*10000/D62</f>
        <v>0.14399022002914869</v>
      </c>
      <c r="E107" s="166">
        <f>E67*10000/E62</f>
        <v>0.10793409985590277</v>
      </c>
      <c r="F107" s="166">
        <f>F67*10000/F62</f>
        <v>-0.34515369507829957</v>
      </c>
      <c r="G107" s="166">
        <f>AVERAGE(C107:E107)</f>
        <v>0.2381325417127258</v>
      </c>
      <c r="H107" s="166">
        <f>STDEV(C107:E107)</f>
        <v>0.19511943673018378</v>
      </c>
      <c r="I107" s="166">
        <f>(B107*B4+C107*C4+D107*D4+E107*E4+F107*F4)/SUM(B4:F4)</f>
        <v>0.14444122217548452</v>
      </c>
      <c r="K107" s="166">
        <f>(LN(H107)+LN(H127))/2-LN(K114*K115^7)</f>
        <v>-3.6303817031333017</v>
      </c>
    </row>
    <row r="108" spans="1:9" ht="12.75">
      <c r="A108" s="166" t="s">
        <v>165</v>
      </c>
      <c r="B108" s="166">
        <f>B68*10000/B62</f>
        <v>-0.10166079184172269</v>
      </c>
      <c r="C108" s="166">
        <f>C68*10000/C62</f>
        <v>-0.2275391890388493</v>
      </c>
      <c r="D108" s="166">
        <f>D68*10000/D62</f>
        <v>-0.028627855238270165</v>
      </c>
      <c r="E108" s="166">
        <f>E68*10000/E62</f>
        <v>0.05319658155421628</v>
      </c>
      <c r="F108" s="166">
        <f>F68*10000/F62</f>
        <v>0.036483388162438415</v>
      </c>
      <c r="G108" s="166">
        <f>AVERAGE(C108:E108)</f>
        <v>-0.06765682090763439</v>
      </c>
      <c r="H108" s="166">
        <f>STDEV(C108:E108)</f>
        <v>0.14438001365679354</v>
      </c>
      <c r="I108" s="166">
        <f>(B108*B4+C108*C4+D108*D4+E108*E4+F108*F4)/SUM(B4:F4)</f>
        <v>-0.058706579317869975</v>
      </c>
    </row>
    <row r="109" spans="1:9" ht="12.75">
      <c r="A109" s="166" t="s">
        <v>166</v>
      </c>
      <c r="B109" s="166">
        <f>B69*10000/B62</f>
        <v>-0.020576148969084274</v>
      </c>
      <c r="C109" s="166">
        <f>C69*10000/C62</f>
        <v>0.15538793066343326</v>
      </c>
      <c r="D109" s="166">
        <f>D69*10000/D62</f>
        <v>0.057294929844058845</v>
      </c>
      <c r="E109" s="166">
        <f>E69*10000/E62</f>
        <v>0.017243088843837982</v>
      </c>
      <c r="F109" s="166">
        <f>F69*10000/F62</f>
        <v>-0.05619463898226992</v>
      </c>
      <c r="G109" s="166">
        <f>AVERAGE(C109:E109)</f>
        <v>0.07664198311711003</v>
      </c>
      <c r="H109" s="166">
        <f>STDEV(C109:E109)</f>
        <v>0.07107552801846048</v>
      </c>
      <c r="I109" s="166">
        <f>(B109*B4+C109*C4+D109*D4+E109*E4+F109*F4)/SUM(B4:F4)</f>
        <v>0.04484964795853365</v>
      </c>
    </row>
    <row r="110" spans="1:11" ht="12.75">
      <c r="A110" s="166" t="s">
        <v>167</v>
      </c>
      <c r="B110" s="166">
        <f>B70*10000/B62</f>
        <v>-0.3214375856682864</v>
      </c>
      <c r="C110" s="166">
        <f>C70*10000/C62</f>
        <v>-0.1331019017758628</v>
      </c>
      <c r="D110" s="166">
        <f>D70*10000/D62</f>
        <v>-0.007482785340475218</v>
      </c>
      <c r="E110" s="166">
        <f>E70*10000/E62</f>
        <v>-0.08411032458745936</v>
      </c>
      <c r="F110" s="166">
        <f>F70*10000/F62</f>
        <v>-0.3428971422712382</v>
      </c>
      <c r="G110" s="166">
        <f>AVERAGE(C110:E110)</f>
        <v>-0.07489833723459914</v>
      </c>
      <c r="H110" s="166">
        <f>STDEV(C110:E110)</f>
        <v>0.06331418590445438</v>
      </c>
      <c r="I110" s="166">
        <f>(B110*B4+C110*C4+D110*D4+E110*E4+F110*F4)/SUM(B4:F4)</f>
        <v>-0.14634784375243295</v>
      </c>
      <c r="K110" s="166">
        <f>EXP(AVERAGE(K103:K107))</f>
        <v>0.03032069389005319</v>
      </c>
    </row>
    <row r="111" spans="1:9" ht="12.75">
      <c r="A111" s="166" t="s">
        <v>168</v>
      </c>
      <c r="B111" s="166">
        <f>B71*10000/B62</f>
        <v>0.016979197235208833</v>
      </c>
      <c r="C111" s="166">
        <f>C71*10000/C62</f>
        <v>-0.004497534525835516</v>
      </c>
      <c r="D111" s="166">
        <f>D71*10000/D62</f>
        <v>0.009730327172088642</v>
      </c>
      <c r="E111" s="166">
        <f>E71*10000/E62</f>
        <v>-0.019636274797486437</v>
      </c>
      <c r="F111" s="166">
        <f>F71*10000/F62</f>
        <v>-0.025465442908146965</v>
      </c>
      <c r="G111" s="166">
        <f>AVERAGE(C111:E111)</f>
        <v>-0.00480116071707777</v>
      </c>
      <c r="H111" s="166">
        <f>STDEV(C111:E111)</f>
        <v>0.014685655227393462</v>
      </c>
      <c r="I111" s="166">
        <f>(B111*B4+C111*C4+D111*D4+E111*E4+F111*F4)/SUM(B4:F4)</f>
        <v>-0.004399255112731511</v>
      </c>
    </row>
    <row r="112" spans="1:9" ht="12.75">
      <c r="A112" s="166" t="s">
        <v>169</v>
      </c>
      <c r="B112" s="166">
        <f>B72*10000/B62</f>
        <v>-0.04002908580076752</v>
      </c>
      <c r="C112" s="166">
        <f>C72*10000/C62</f>
        <v>0.005533110652779552</v>
      </c>
      <c r="D112" s="166">
        <f>D72*10000/D62</f>
        <v>-0.0058241854742066175</v>
      </c>
      <c r="E112" s="166">
        <f>E72*10000/E62</f>
        <v>-0.0027401897224716494</v>
      </c>
      <c r="F112" s="166">
        <f>F72*10000/F62</f>
        <v>0.0025252927862298817</v>
      </c>
      <c r="G112" s="166">
        <f>AVERAGE(C112:E112)</f>
        <v>-0.0010104215146329051</v>
      </c>
      <c r="H112" s="166">
        <f>STDEV(C112:E112)</f>
        <v>0.005872913873764114</v>
      </c>
      <c r="I112" s="166">
        <f>(B112*B4+C112*C4+D112*D4+E112*E4+F112*F4)/SUM(B4:F4)</f>
        <v>-0.006191043118134405</v>
      </c>
    </row>
    <row r="113" spans="1:9" ht="12.75">
      <c r="A113" s="166" t="s">
        <v>170</v>
      </c>
      <c r="B113" s="166">
        <f>B73*10000/B62</f>
        <v>0.016164194174328902</v>
      </c>
      <c r="C113" s="166">
        <f>C73*10000/C62</f>
        <v>0.010925034257612019</v>
      </c>
      <c r="D113" s="166">
        <f>D73*10000/D62</f>
        <v>0.015760047478420428</v>
      </c>
      <c r="E113" s="166">
        <f>E73*10000/E62</f>
        <v>0.020658039868771166</v>
      </c>
      <c r="F113" s="166">
        <f>F73*10000/F62</f>
        <v>-0.001204003327457883</v>
      </c>
      <c r="G113" s="166">
        <f>AVERAGE(C113:E113)</f>
        <v>0.015781040534934537</v>
      </c>
      <c r="H113" s="166">
        <f>STDEV(C113:E113)</f>
        <v>0.004866536765301398</v>
      </c>
      <c r="I113" s="166">
        <f>(B113*B4+C113*C4+D113*D4+E113*E4+F113*F4)/SUM(B4:F4)</f>
        <v>0.01357066133118237</v>
      </c>
    </row>
    <row r="114" spans="1:11" ht="12.75">
      <c r="A114" s="166" t="s">
        <v>171</v>
      </c>
      <c r="B114" s="166">
        <f>B74*10000/B62</f>
        <v>-0.19327206727687085</v>
      </c>
      <c r="C114" s="166">
        <f>C74*10000/C62</f>
        <v>-0.17069754906246587</v>
      </c>
      <c r="D114" s="166">
        <f>D74*10000/D62</f>
        <v>-0.1754187400292975</v>
      </c>
      <c r="E114" s="166">
        <f>E74*10000/E62</f>
        <v>-0.1705458244806534</v>
      </c>
      <c r="F114" s="166">
        <f>F74*10000/F62</f>
        <v>-0.13025853994684267</v>
      </c>
      <c r="G114" s="166">
        <f>AVERAGE(C114:E114)</f>
        <v>-0.17222070452413893</v>
      </c>
      <c r="H114" s="166">
        <f>STDEV(C114:E114)</f>
        <v>0.0027706187768023354</v>
      </c>
      <c r="I114" s="166">
        <f>(B114*B4+C114*C4+D114*D4+E114*E4+F114*F4)/SUM(B4:F4)</f>
        <v>-0.1696741475340155</v>
      </c>
      <c r="J114" s="166" t="s">
        <v>189</v>
      </c>
      <c r="K114" s="166">
        <v>285</v>
      </c>
    </row>
    <row r="115" spans="1:11" ht="12.75">
      <c r="A115" s="166" t="s">
        <v>172</v>
      </c>
      <c r="B115" s="166">
        <f>B75*10000/B62</f>
        <v>0.0001728603844971264</v>
      </c>
      <c r="C115" s="166">
        <f>C75*10000/C62</f>
        <v>-0.0074154939778161046</v>
      </c>
      <c r="D115" s="166">
        <f>D75*10000/D62</f>
        <v>-0.004246624754034991</v>
      </c>
      <c r="E115" s="166">
        <f>E75*10000/E62</f>
        <v>-0.0006019191033774674</v>
      </c>
      <c r="F115" s="166">
        <f>F75*10000/F62</f>
        <v>0.0053564352312871185</v>
      </c>
      <c r="G115" s="166">
        <f>AVERAGE(C115:E115)</f>
        <v>-0.0040880126117428545</v>
      </c>
      <c r="H115" s="166">
        <f>STDEV(C115:E115)</f>
        <v>0.0034095555430520923</v>
      </c>
      <c r="I115" s="166">
        <f>(B115*B4+C115*C4+D115*D4+E115*E4+F115*F4)/SUM(B4:F4)</f>
        <v>-0.002211674625017298</v>
      </c>
      <c r="J115" s="166" t="s">
        <v>190</v>
      </c>
      <c r="K115" s="166">
        <v>0.5536</v>
      </c>
    </row>
    <row r="118" ht="12.75">
      <c r="A118" s="166" t="s">
        <v>155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157</v>
      </c>
      <c r="H120" s="166" t="s">
        <v>158</v>
      </c>
      <c r="I120" s="166" t="s">
        <v>153</v>
      </c>
    </row>
    <row r="121" spans="1:9" ht="12.75">
      <c r="A121" s="166" t="s">
        <v>173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174</v>
      </c>
      <c r="B122" s="166">
        <f>B82*10000/B62</f>
        <v>166.7389324886379</v>
      </c>
      <c r="C122" s="166">
        <f>C82*10000/C62</f>
        <v>79.05097352630236</v>
      </c>
      <c r="D122" s="166">
        <f>D82*10000/D62</f>
        <v>5.204751634777959</v>
      </c>
      <c r="E122" s="166">
        <f>E82*10000/E62</f>
        <v>-92.66485845544126</v>
      </c>
      <c r="F122" s="166">
        <f>F82*10000/F62</f>
        <v>-166.04943255748094</v>
      </c>
      <c r="G122" s="166">
        <f>AVERAGE(C122:E122)</f>
        <v>-2.8030444314536473</v>
      </c>
      <c r="H122" s="166">
        <f>STDEV(C122:E122)</f>
        <v>86.13753732650108</v>
      </c>
      <c r="I122" s="166">
        <f>(B122*B4+C122*C4+D122*D4+E122*E4+F122*F4)/SUM(B4:F4)</f>
        <v>-0.0036105820937765505</v>
      </c>
    </row>
    <row r="123" spans="1:9" ht="12.75">
      <c r="A123" s="166" t="s">
        <v>175</v>
      </c>
      <c r="B123" s="166">
        <f>B83*10000/B62</f>
        <v>-0.12343238189885818</v>
      </c>
      <c r="C123" s="166">
        <f>C83*10000/C62</f>
        <v>-0.4537458441666251</v>
      </c>
      <c r="D123" s="166">
        <f>D83*10000/D62</f>
        <v>2.7825196551715874</v>
      </c>
      <c r="E123" s="166">
        <f>E83*10000/E62</f>
        <v>0.24493708134466496</v>
      </c>
      <c r="F123" s="166">
        <f>F83*10000/F62</f>
        <v>4.5198540933404745</v>
      </c>
      <c r="G123" s="166">
        <f>AVERAGE(C123:E123)</f>
        <v>0.8579036307832091</v>
      </c>
      <c r="H123" s="166">
        <f>STDEV(C123:E123)</f>
        <v>1.7029825567514334</v>
      </c>
      <c r="I123" s="166">
        <f>(B123*B4+C123*C4+D123*D4+E123*E4+F123*F4)/SUM(B4:F4)</f>
        <v>1.204338919255954</v>
      </c>
    </row>
    <row r="124" spans="1:9" ht="12.75">
      <c r="A124" s="166" t="s">
        <v>176</v>
      </c>
      <c r="B124" s="166">
        <f>B84*10000/B62</f>
        <v>0.7908481653690722</v>
      </c>
      <c r="C124" s="166">
        <f>C84*10000/C62</f>
        <v>-2.7842061628624837</v>
      </c>
      <c r="D124" s="166">
        <f>D84*10000/D62</f>
        <v>-2.8317756986800395</v>
      </c>
      <c r="E124" s="166">
        <f>E84*10000/E62</f>
        <v>-0.93884514968186</v>
      </c>
      <c r="F124" s="166">
        <f>F84*10000/F62</f>
        <v>4.796048751963489</v>
      </c>
      <c r="G124" s="166">
        <f>AVERAGE(C124:E124)</f>
        <v>-2.1849423370747942</v>
      </c>
      <c r="H124" s="166">
        <f>STDEV(C124:E124)</f>
        <v>1.0794138990701911</v>
      </c>
      <c r="I124" s="166">
        <f>(B124*B4+C124*C4+D124*D4+E124*E4+F124*F4)/SUM(B4:F4)</f>
        <v>-0.8230451790425137</v>
      </c>
    </row>
    <row r="125" spans="1:9" ht="12.75">
      <c r="A125" s="166" t="s">
        <v>177</v>
      </c>
      <c r="B125" s="166">
        <f>B85*10000/B62</f>
        <v>0.5248688734940054</v>
      </c>
      <c r="C125" s="166">
        <f>C85*10000/C62</f>
        <v>0.248824435224835</v>
      </c>
      <c r="D125" s="166">
        <f>D85*10000/D62</f>
        <v>1.3269745010802414</v>
      </c>
      <c r="E125" s="166">
        <f>E85*10000/E62</f>
        <v>0.7265426500426186</v>
      </c>
      <c r="F125" s="166">
        <f>F85*10000/F62</f>
        <v>-1.427700149918211</v>
      </c>
      <c r="G125" s="166">
        <f>AVERAGE(C125:E125)</f>
        <v>0.7674471954492317</v>
      </c>
      <c r="H125" s="166">
        <f>STDEV(C125:E125)</f>
        <v>0.5402377046284307</v>
      </c>
      <c r="I125" s="166">
        <f>(B125*B4+C125*C4+D125*D4+E125*E4+F125*F4)/SUM(B4:F4)</f>
        <v>0.43958800028011247</v>
      </c>
    </row>
    <row r="126" spans="1:9" ht="12.75">
      <c r="A126" s="166" t="s">
        <v>178</v>
      </c>
      <c r="B126" s="166">
        <f>B86*10000/B62</f>
        <v>0.19376171871146838</v>
      </c>
      <c r="C126" s="166">
        <f>C86*10000/C62</f>
        <v>0.8893259293558737</v>
      </c>
      <c r="D126" s="166">
        <f>D86*10000/D62</f>
        <v>0.575805152287891</v>
      </c>
      <c r="E126" s="166">
        <f>E86*10000/E62</f>
        <v>-0.4489728996543824</v>
      </c>
      <c r="F126" s="166">
        <f>F86*10000/F62</f>
        <v>1.3681731845134544</v>
      </c>
      <c r="G126" s="166">
        <f>AVERAGE(C126:E126)</f>
        <v>0.3387193939964607</v>
      </c>
      <c r="H126" s="166">
        <f>STDEV(C126:E126)</f>
        <v>0.6999415557894978</v>
      </c>
      <c r="I126" s="166">
        <f>(B126*B4+C126*C4+D126*D4+E126*E4+F126*F4)/SUM(B4:F4)</f>
        <v>0.4551334864116895</v>
      </c>
    </row>
    <row r="127" spans="1:9" ht="12.75">
      <c r="A127" s="166" t="s">
        <v>179</v>
      </c>
      <c r="B127" s="166">
        <f>B87*10000/B62</f>
        <v>-0.02611129416462099</v>
      </c>
      <c r="C127" s="166">
        <f>C87*10000/C62</f>
        <v>-0.20964610274913412</v>
      </c>
      <c r="D127" s="166">
        <f>D87*10000/D62</f>
        <v>-0.06247536283270479</v>
      </c>
      <c r="E127" s="166">
        <f>E87*10000/E62</f>
        <v>-0.11860939848977105</v>
      </c>
      <c r="F127" s="166">
        <f>F87*10000/F62</f>
        <v>0.2027745615701395</v>
      </c>
      <c r="G127" s="166">
        <f>AVERAGE(C127:E127)</f>
        <v>-0.13024362135720333</v>
      </c>
      <c r="H127" s="166">
        <f>STDEV(C127:E127)</f>
        <v>0.07427195317334892</v>
      </c>
      <c r="I127" s="166">
        <f>(B127*B4+C127*C4+D127*D4+E127*E4+F127*F4)/SUM(B4:F4)</f>
        <v>-0.07074275835678831</v>
      </c>
    </row>
    <row r="128" spans="1:9" ht="12.75">
      <c r="A128" s="166" t="s">
        <v>180</v>
      </c>
      <c r="B128" s="166">
        <f>B88*10000/B62</f>
        <v>0.134590290791112</v>
      </c>
      <c r="C128" s="166">
        <f>C88*10000/C62</f>
        <v>-0.3284187024830625</v>
      </c>
      <c r="D128" s="166">
        <f>D88*10000/D62</f>
        <v>0.1052657271060337</v>
      </c>
      <c r="E128" s="166">
        <f>E88*10000/E62</f>
        <v>0.2121135525443347</v>
      </c>
      <c r="F128" s="166">
        <f>F88*10000/F62</f>
        <v>0.4495385757818817</v>
      </c>
      <c r="G128" s="166">
        <f>AVERAGE(C128:E128)</f>
        <v>-0.0036798076108980247</v>
      </c>
      <c r="H128" s="166">
        <f>STDEV(C128:E128)</f>
        <v>0.2862614658530194</v>
      </c>
      <c r="I128" s="166">
        <f>(B128*B4+C128*C4+D128*D4+E128*E4+F128*F4)/SUM(B4:F4)</f>
        <v>0.07677335788540769</v>
      </c>
    </row>
    <row r="129" spans="1:9" ht="12.75">
      <c r="A129" s="166" t="s">
        <v>181</v>
      </c>
      <c r="B129" s="166">
        <f>B89*10000/B62</f>
        <v>0.12398722730873239</v>
      </c>
      <c r="C129" s="166">
        <f>C89*10000/C62</f>
        <v>0.0896027886537786</v>
      </c>
      <c r="D129" s="166">
        <f>D89*10000/D62</f>
        <v>0.12699300026368032</v>
      </c>
      <c r="E129" s="166">
        <f>E89*10000/E62</f>
        <v>0.11174076339598903</v>
      </c>
      <c r="F129" s="166">
        <f>F89*10000/F62</f>
        <v>-0.03270144965202101</v>
      </c>
      <c r="G129" s="166">
        <f>AVERAGE(C129:E129)</f>
        <v>0.10944551743781598</v>
      </c>
      <c r="H129" s="166">
        <f>STDEV(C129:E129)</f>
        <v>0.018800481285453606</v>
      </c>
      <c r="I129" s="166">
        <f>(B129*B4+C129*C4+D129*D4+E129*E4+F129*F4)/SUM(B4:F4)</f>
        <v>0.092595007108369</v>
      </c>
    </row>
    <row r="130" spans="1:9" ht="12.75">
      <c r="A130" s="166" t="s">
        <v>182</v>
      </c>
      <c r="B130" s="166">
        <f>B90*10000/B62</f>
        <v>0.043716446130796</v>
      </c>
      <c r="C130" s="166">
        <f>C90*10000/C62</f>
        <v>0.10681624257452121</v>
      </c>
      <c r="D130" s="166">
        <f>D90*10000/D62</f>
        <v>0.05203283065077099</v>
      </c>
      <c r="E130" s="166">
        <f>E90*10000/E62</f>
        <v>-0.06481959077413064</v>
      </c>
      <c r="F130" s="166">
        <f>F90*10000/F62</f>
        <v>0.34108535540215024</v>
      </c>
      <c r="G130" s="166">
        <f>AVERAGE(C130:E130)</f>
        <v>0.03134316081705386</v>
      </c>
      <c r="H130" s="166">
        <f>STDEV(C130:E130)</f>
        <v>0.0876684758091112</v>
      </c>
      <c r="I130" s="166">
        <f>(B130*B4+C130*C4+D130*D4+E130*E4+F130*F4)/SUM(B4:F4)</f>
        <v>0.0744587375113586</v>
      </c>
    </row>
    <row r="131" spans="1:9" ht="12.75">
      <c r="A131" s="166" t="s">
        <v>183</v>
      </c>
      <c r="B131" s="166">
        <f>B91*10000/B62</f>
        <v>0.019141918629201674</v>
      </c>
      <c r="C131" s="166">
        <f>C91*10000/C62</f>
        <v>0.0022120898449026734</v>
      </c>
      <c r="D131" s="166">
        <f>D91*10000/D62</f>
        <v>-0.017631998805218277</v>
      </c>
      <c r="E131" s="166">
        <f>E91*10000/E62</f>
        <v>-0.0025403283493445573</v>
      </c>
      <c r="F131" s="166">
        <f>F91*10000/F62</f>
        <v>0.06569530383208495</v>
      </c>
      <c r="G131" s="166">
        <f>AVERAGE(C131:E131)</f>
        <v>-0.005986745769886721</v>
      </c>
      <c r="H131" s="166">
        <f>STDEV(C131:E131)</f>
        <v>0.010361240676961767</v>
      </c>
      <c r="I131" s="166">
        <f>(B131*B4+C131*C4+D131*D4+E131*E4+F131*F4)/SUM(B4:F4)</f>
        <v>0.007212160367958298</v>
      </c>
    </row>
    <row r="132" spans="1:9" ht="12.75">
      <c r="A132" s="166" t="s">
        <v>184</v>
      </c>
      <c r="B132" s="166">
        <f>B92*10000/B62</f>
        <v>0.01988833673244551</v>
      </c>
      <c r="C132" s="166">
        <f>C92*10000/C62</f>
        <v>-0.01754574024668135</v>
      </c>
      <c r="D132" s="166">
        <f>D92*10000/D62</f>
        <v>0.06842074721931336</v>
      </c>
      <c r="E132" s="166">
        <f>E92*10000/E62</f>
        <v>0.07461735408654446</v>
      </c>
      <c r="F132" s="166">
        <f>F92*10000/F62</f>
        <v>0.047579318512419526</v>
      </c>
      <c r="G132" s="166">
        <f>AVERAGE(C132:E132)</f>
        <v>0.0418307870197255</v>
      </c>
      <c r="H132" s="166">
        <f>STDEV(C132:E132)</f>
        <v>0.05151483744350281</v>
      </c>
      <c r="I132" s="166">
        <f>(B132*B4+C132*C4+D132*D4+E132*E4+F132*F4)/SUM(B4:F4)</f>
        <v>0.03941645899004147</v>
      </c>
    </row>
    <row r="133" spans="1:9" ht="12.75">
      <c r="A133" s="166" t="s">
        <v>185</v>
      </c>
      <c r="B133" s="166">
        <f>B93*10000/B62</f>
        <v>0.05869259668096355</v>
      </c>
      <c r="C133" s="166">
        <f>C93*10000/C62</f>
        <v>0.04753843195084637</v>
      </c>
      <c r="D133" s="166">
        <f>D93*10000/D62</f>
        <v>0.03937596758881517</v>
      </c>
      <c r="E133" s="166">
        <f>E93*10000/E62</f>
        <v>0.043970880743359045</v>
      </c>
      <c r="F133" s="166">
        <f>F93*10000/F62</f>
        <v>0.03200946091520982</v>
      </c>
      <c r="G133" s="166">
        <f>AVERAGE(C133:E133)</f>
        <v>0.04362842676100687</v>
      </c>
      <c r="H133" s="166">
        <f>STDEV(C133:E133)</f>
        <v>0.004091993666035963</v>
      </c>
      <c r="I133" s="166">
        <f>(B133*B4+C133*C4+D133*D4+E133*E4+F133*F4)/SUM(B4:F4)</f>
        <v>0.044260650823303195</v>
      </c>
    </row>
    <row r="134" spans="1:9" ht="12.75">
      <c r="A134" s="166" t="s">
        <v>186</v>
      </c>
      <c r="B134" s="166">
        <f>B94*10000/B62</f>
        <v>-0.010939699965437966</v>
      </c>
      <c r="C134" s="166">
        <f>C94*10000/C62</f>
        <v>0.01207991131724361</v>
      </c>
      <c r="D134" s="166">
        <f>D94*10000/D62</f>
        <v>0.019599610956421813</v>
      </c>
      <c r="E134" s="166">
        <f>E94*10000/E62</f>
        <v>0.01926890497989882</v>
      </c>
      <c r="F134" s="166">
        <f>F94*10000/F62</f>
        <v>0.005634222688348673</v>
      </c>
      <c r="G134" s="166">
        <f>AVERAGE(C134:E134)</f>
        <v>0.016982809084521416</v>
      </c>
      <c r="H134" s="166">
        <f>STDEV(C134:E134)</f>
        <v>0.004249252463435222</v>
      </c>
      <c r="I134" s="166">
        <f>(B134*B4+C134*C4+D134*D4+E134*E4+F134*F4)/SUM(B4:F4)</f>
        <v>0.011424409697644827</v>
      </c>
    </row>
    <row r="135" spans="1:9" ht="12.75">
      <c r="A135" s="166" t="s">
        <v>187</v>
      </c>
      <c r="B135" s="166">
        <f>B95*10000/B62</f>
        <v>-0.0011117002571775505</v>
      </c>
      <c r="C135" s="166">
        <f>C95*10000/C62</f>
        <v>0.001871995741955977</v>
      </c>
      <c r="D135" s="166">
        <f>D95*10000/D62</f>
        <v>0.004600300567574318</v>
      </c>
      <c r="E135" s="166">
        <f>E95*10000/E62</f>
        <v>0.0022257983822729643</v>
      </c>
      <c r="F135" s="166">
        <f>F95*10000/F62</f>
        <v>0.0008435707281777614</v>
      </c>
      <c r="G135" s="166">
        <f>AVERAGE(C135:E135)</f>
        <v>0.0028993648972677533</v>
      </c>
      <c r="H135" s="166">
        <f>STDEV(C135:E135)</f>
        <v>0.0014836376555496114</v>
      </c>
      <c r="I135" s="166">
        <f>(B135*B4+C135*C4+D135*D4+E135*E4+F135*F4)/SUM(B4:F4)</f>
        <v>0.002044357755989802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2003-12-11T06:01:49Z</cp:lastPrinted>
  <dcterms:created xsi:type="dcterms:W3CDTF">1999-06-17T15:15:05Z</dcterms:created>
  <dcterms:modified xsi:type="dcterms:W3CDTF">2005-10-05T15:04:29Z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