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6" activeTab="7"/>
  </bookViews>
  <sheets>
    <sheet name="Sommaire" sheetId="1" r:id="rId1"/>
    <sheet name="HCMQAP141_pos1ap2" sheetId="2" r:id="rId2"/>
    <sheet name="HCMQAP141_pos2ap2" sheetId="3" r:id="rId3"/>
    <sheet name="HCMQAP141_pos3ap2" sheetId="4" r:id="rId4"/>
    <sheet name="HCMQAP141_pos4ap2" sheetId="5" r:id="rId5"/>
    <sheet name="HCMQAP141_pos5ap2" sheetId="6" r:id="rId6"/>
    <sheet name="Lmag_hcmqap" sheetId="7" r:id="rId7"/>
    <sheet name="Result_HCMQAP" sheetId="8" r:id="rId8"/>
  </sheets>
  <definedNames>
    <definedName name="_xlnm.Print_Area" localSheetId="1">'HCMQAP141_pos1ap2'!$A$1:$N$28</definedName>
    <definedName name="_xlnm.Print_Area" localSheetId="2">'HCMQAP141_pos2ap2'!$A$1:$N$28</definedName>
    <definedName name="_xlnm.Print_Area" localSheetId="3">'HCMQAP141_pos3ap2'!$A$1:$N$28</definedName>
    <definedName name="_xlnm.Print_Area" localSheetId="4">'HCMQAP141_pos4ap2'!$A$1:$N$28</definedName>
    <definedName name="_xlnm.Print_Area" localSheetId="5">'HCMQAP141_pos5ap2'!$A$1:$N$28</definedName>
    <definedName name="_xlnm.Print_Area" localSheetId="6">'Lmag_hcmqap'!$A$1:$G$54</definedName>
    <definedName name="_xlnm.Print_Area" localSheetId="0">'Sommaire'!$A$1:$N$16</definedName>
  </definedNames>
  <calcPr fullCalcOnLoad="1"/>
</workbook>
</file>

<file path=xl/sharedStrings.xml><?xml version="1.0" encoding="utf-8"?>
<sst xmlns="http://schemas.openxmlformats.org/spreadsheetml/2006/main" count="505" uniqueCount="189">
  <si>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</si>
  <si>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</si>
  <si>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</si>
  <si>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</si>
  <si>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</si>
  <si>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</si>
  <si>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</si>
  <si>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</si>
  <si>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</si>
  <si>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</si>
  <si>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</si>
  <si>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</si>
  <si>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</si>
  <si>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</si>
  <si>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</si>
  <si>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hcmqap141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</si>
  <si>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</si>
  <si>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</si>
  <si>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</si>
  <si>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</si>
  <si>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</si>
  <si>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</si>
  <si>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</si>
  <si>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</si>
  <si>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</si>
  <si>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</si>
  <si>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</si>
  <si>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</si>
  <si>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taupe_quadrupole#12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</si>
  <si>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</si>
  <si>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</si>
  <si>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</si>
  <si>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</si>
  <si>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</si>
  <si>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</si>
  <si>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</si>
  <si>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</si>
  <si>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</si>
  <si>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</si>
  <si>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</si>
  <si>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</si>
  <si>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</si>
  <si>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</si>
  <si>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</si>
  <si>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</si>
  <si>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</si>
  <si>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</si>
  <si>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</si>
  <si>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</si>
  <si>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</si>
  <si>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t>Sens du courant</t>
  </si>
  <si>
    <t>+I / -I</t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</si>
  <si>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</si>
  <si>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</si>
  <si>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</si>
  <si>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</si>
  <si>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</si>
  <si>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</si>
  <si>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</si>
  <si>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-2.256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</si>
  <si>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</si>
  <si>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</si>
  <si>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</si>
  <si>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</si>
  <si>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</si>
  <si>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</si>
  <si>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</si>
  <si>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</si>
  <si>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t>HCMQAP141_pos1ap2</t>
  </si>
  <si>
    <t>±12.5</t>
  </si>
  <si>
    <t>THCMQAP141_pos1ap2.xls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</si>
  <si>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-3.755 mT)</t>
    </r>
  </si>
  <si>
    <t>HCMQAP141_pos2ap2</t>
  </si>
  <si>
    <t>THCMQAP141_pos2ap2.xls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</si>
  <si>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-3.756 mT)</t>
    </r>
  </si>
  <si>
    <t>HCMQAP141_pos3ap2</t>
  </si>
  <si>
    <t>THCMQAP141_pos3ap2.xls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</si>
  <si>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-3.753 mT)</t>
    </r>
  </si>
  <si>
    <t>HCMQAP141_pos4ap2</t>
  </si>
  <si>
    <t>THCMQAP141_pos4ap2.xls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</si>
  <si>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-2.086 mT)</t>
    </r>
  </si>
  <si>
    <t>HCMQAP141_pos5ap2</t>
  </si>
  <si>
    <t>THCMQAP141_pos5ap2.xls</t>
  </si>
  <si>
    <t>Sommaire : Valeurs intégrales calculées avec les fichiers: HCMQAP141_pos1ap2+HCMQAP141_pos2ap2+HCMQAP141_pos3ap2+HCMQAP141_pos4ap2+HCMQAP141_pos5ap2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</si>
  <si>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</si>
  <si>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</si>
  <si>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</si>
  <si>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</si>
  <si>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</si>
  <si>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</si>
  <si>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</si>
  <si>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</si>
  <si>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</si>
  <si>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</si>
  <si>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</si>
  <si>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</si>
  <si>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</si>
  <si>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</si>
  <si>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</si>
  <si>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</si>
  <si>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</si>
  <si>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</si>
  <si>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</si>
  <si>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</si>
  <si>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</si>
  <si>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</si>
  <si>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</si>
  <si>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</si>
  <si>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</si>
  <si>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</si>
  <si>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</si>
  <si>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</si>
  <si>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</si>
  <si>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</si>
  <si>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</si>
  <si>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</si>
  <si>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</si>
  <si>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</si>
  <si>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</si>
  <si>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</si>
  <si>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</si>
  <si>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</si>
  <si>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</si>
  <si>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</si>
  <si>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</si>
  <si>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</si>
  <si>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</si>
  <si>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=-3.755</t>
    </r>
  </si>
  <si>
    <t>Gradient (T/m)</t>
  </si>
  <si>
    <t xml:space="preserve"> Tue 02/12/2003       07:44:31</t>
  </si>
  <si>
    <t>LISSNER</t>
  </si>
  <si>
    <t>HCMQAP141</t>
  </si>
  <si>
    <t>Aperture2</t>
  </si>
  <si>
    <t>Position</t>
  </si>
  <si>
    <t>Integrales</t>
  </si>
  <si>
    <t>Cn (T)</t>
  </si>
  <si>
    <t>Angle (Horiz,Cn)</t>
  </si>
  <si>
    <t>b1</t>
  </si>
  <si>
    <t>b2</t>
  </si>
  <si>
    <t>a1</t>
  </si>
  <si>
    <t>a2</t>
  </si>
  <si>
    <t>a10!</t>
  </si>
  <si>
    <t>Temp taupe (deg)</t>
  </si>
  <si>
    <t>Niv init (mrad)</t>
  </si>
  <si>
    <t>Dx moy (mm)</t>
  </si>
  <si>
    <t>Dy moy (mm)</t>
  </si>
  <si>
    <t>C2 centre (T)</t>
  </si>
  <si>
    <t>Long. Mag. (m)</t>
  </si>
  <si>
    <t>* = Integral error  ! = Central error           Conclusion : CONTACT CEA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</si>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</sst>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3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b/>
      <sz val="10"/>
      <name val="Times New Roman"/>
      <family val="1"/>
    </font>
    <font>
      <b/>
      <sz val="11.5"/>
      <name val="Arial"/>
      <family val="0"/>
    </font>
    <font>
      <sz val="11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right" vertical="top" wrapText="1"/>
    </xf>
    <xf numFmtId="173" fontId="2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5" fillId="0" borderId="13" xfId="0" applyNumberFormat="1" applyFont="1" applyFill="1" applyBorder="1" applyAlignment="1">
      <alignment horizontal="left"/>
    </xf>
    <xf numFmtId="173" fontId="5" fillId="0" borderId="13" xfId="0" applyNumberFormat="1" applyFont="1" applyFill="1" applyBorder="1" applyAlignment="1">
      <alignment horizontal="center"/>
    </xf>
    <xf numFmtId="173" fontId="5" fillId="0" borderId="14" xfId="0" applyNumberFormat="1" applyFont="1" applyFill="1" applyBorder="1" applyAlignment="1">
      <alignment horizontal="center"/>
    </xf>
    <xf numFmtId="173" fontId="5" fillId="0" borderId="19" xfId="0" applyNumberFormat="1" applyFont="1" applyFill="1" applyBorder="1" applyAlignment="1">
      <alignment horizontal="center"/>
    </xf>
    <xf numFmtId="173" fontId="5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5" fillId="0" borderId="10" xfId="0" applyNumberFormat="1" applyFont="1" applyFill="1" applyBorder="1" applyAlignment="1">
      <alignment horizontal="center"/>
    </xf>
    <xf numFmtId="173" fontId="5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0" borderId="10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5" fillId="0" borderId="11" xfId="0" applyNumberFormat="1" applyFont="1" applyFill="1" applyBorder="1" applyAlignment="1">
      <alignment horizontal="left"/>
    </xf>
    <xf numFmtId="173" fontId="3" fillId="3" borderId="10" xfId="0" applyNumberFormat="1" applyFont="1" applyFill="1" applyBorder="1" applyAlignment="1">
      <alignment horizontal="center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7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173" fontId="5" fillId="3" borderId="15" xfId="0" applyNumberFormat="1" applyFont="1" applyFill="1" applyBorder="1" applyAlignment="1">
      <alignment horizontal="center"/>
    </xf>
    <xf numFmtId="173" fontId="3" fillId="3" borderId="15" xfId="0" applyNumberFormat="1" applyFont="1" applyFill="1" applyBorder="1" applyAlignment="1">
      <alignment horizontal="center"/>
    </xf>
    <xf numFmtId="173" fontId="5" fillId="3" borderId="10" xfId="0" applyNumberFormat="1" applyFont="1" applyFill="1" applyBorder="1" applyAlignment="1">
      <alignment horizontal="center"/>
    </xf>
    <xf numFmtId="179" fontId="5" fillId="0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5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79" fontId="5" fillId="0" borderId="55" xfId="0" applyNumberFormat="1" applyFont="1" applyFill="1" applyBorder="1" applyAlignment="1">
      <alignment horizontal="center"/>
    </xf>
    <xf numFmtId="179" fontId="5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5" fillId="0" borderId="6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5" fillId="3" borderId="20" xfId="0" applyNumberFormat="1" applyFont="1" applyFill="1" applyBorder="1" applyAlignment="1">
      <alignment horizontal="center"/>
    </xf>
    <xf numFmtId="179" fontId="5" fillId="0" borderId="20" xfId="0" applyNumberFormat="1" applyFont="1" applyFill="1" applyBorder="1" applyAlignment="1">
      <alignment horizontal="center"/>
    </xf>
    <xf numFmtId="179" fontId="3" fillId="3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0" fillId="0" borderId="66" xfId="0" applyNumberFormat="1" applyFont="1" applyBorder="1" applyAlignment="1">
      <alignment horizontal="center"/>
    </xf>
    <xf numFmtId="179" fontId="10" fillId="0" borderId="67" xfId="0" applyNumberFormat="1" applyFont="1" applyBorder="1" applyAlignment="1">
      <alignment horizontal="center"/>
    </xf>
    <xf numFmtId="2" fontId="10" fillId="0" borderId="67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141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Lmag_hcmqap!$B$17:$F$17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Lmag_hcmqap!$B$7:$F$7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Lmag_hcmqap!$B$20:$F$20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Lmag_hcmqap!$A$6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Lmag_hcmqap!$B$6:$F$6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Lmag_hcmqap!$A$19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Lmag_hcmqap!$B$19:$F$19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0958984"/>
        <c:axId val="31521993"/>
      </c:lineChart>
      <c:catAx>
        <c:axId val="109589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1521993"/>
        <c:crosses val="autoZero"/>
        <c:auto val="1"/>
        <c:lblOffset val="100"/>
        <c:noMultiLvlLbl val="0"/>
      </c:catAx>
      <c:valAx>
        <c:axId val="315219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1095898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36</xdr:row>
      <xdr:rowOff>28575</xdr:rowOff>
    </xdr:from>
    <xdr:to>
      <xdr:col>7</xdr:col>
      <xdr:colOff>19050</xdr:colOff>
      <xdr:row>56</xdr:row>
      <xdr:rowOff>47625</xdr:rowOff>
    </xdr:to>
    <xdr:graphicFrame>
      <xdr:nvGraphicFramePr>
        <xdr:cNvPr id="1" name="Chart 1"/>
        <xdr:cNvGraphicFramePr/>
      </xdr:nvGraphicFramePr>
      <xdr:xfrm>
        <a:off x="171450" y="6010275"/>
        <a:ext cx="53816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7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>
        <v>37664</v>
      </c>
      <c r="B2" s="24">
        <v>80</v>
      </c>
      <c r="C2" s="24" t="s">
        <v>69</v>
      </c>
      <c r="D2" s="25">
        <v>5</v>
      </c>
      <c r="E2" s="25">
        <v>1</v>
      </c>
      <c r="F2" s="26"/>
      <c r="G2" s="26" t="s">
        <v>68</v>
      </c>
      <c r="H2" s="25">
        <v>2750</v>
      </c>
      <c r="I2" s="27" t="s">
        <v>70</v>
      </c>
      <c r="J2" s="30"/>
      <c r="K2" s="28"/>
      <c r="L2" s="28"/>
      <c r="M2" s="28"/>
      <c r="N2" s="28"/>
    </row>
    <row r="3" spans="1:14" s="29" customFormat="1" ht="15" customHeight="1">
      <c r="A3" s="40">
        <v>37664</v>
      </c>
      <c r="B3" s="24">
        <v>80</v>
      </c>
      <c r="C3" s="24" t="s">
        <v>69</v>
      </c>
      <c r="D3" s="25">
        <v>5</v>
      </c>
      <c r="E3" s="25">
        <v>2</v>
      </c>
      <c r="F3" s="26"/>
      <c r="G3" s="26" t="s">
        <v>72</v>
      </c>
      <c r="H3" s="25">
        <v>2750</v>
      </c>
      <c r="I3" s="27" t="s">
        <v>73</v>
      </c>
      <c r="J3" s="30"/>
      <c r="K3" s="28"/>
      <c r="L3" s="28"/>
      <c r="M3" s="28"/>
      <c r="N3" s="28"/>
    </row>
    <row r="4" spans="1:14" s="29" customFormat="1" ht="15" customHeight="1">
      <c r="A4" s="40">
        <v>37664</v>
      </c>
      <c r="B4" s="24">
        <v>80</v>
      </c>
      <c r="C4" s="24" t="s">
        <v>69</v>
      </c>
      <c r="D4" s="25">
        <v>5</v>
      </c>
      <c r="E4" s="25">
        <v>3</v>
      </c>
      <c r="F4" s="26"/>
      <c r="G4" s="26" t="s">
        <v>75</v>
      </c>
      <c r="H4" s="25">
        <v>2750</v>
      </c>
      <c r="I4" s="27" t="s">
        <v>76</v>
      </c>
      <c r="J4" s="30"/>
      <c r="K4" s="31"/>
      <c r="L4" s="31"/>
      <c r="M4" s="31"/>
      <c r="N4" s="28"/>
    </row>
    <row r="5" spans="1:14" s="29" customFormat="1" ht="15" customHeight="1">
      <c r="A5" s="40">
        <v>37664</v>
      </c>
      <c r="B5" s="24">
        <v>80</v>
      </c>
      <c r="C5" s="24" t="s">
        <v>69</v>
      </c>
      <c r="D5" s="25">
        <v>5</v>
      </c>
      <c r="E5" s="25">
        <v>4</v>
      </c>
      <c r="F5" s="26"/>
      <c r="G5" s="26" t="s">
        <v>78</v>
      </c>
      <c r="H5" s="25">
        <v>2750</v>
      </c>
      <c r="I5" s="27" t="s">
        <v>79</v>
      </c>
      <c r="J5" s="30"/>
      <c r="K5" s="28"/>
      <c r="L5" s="28"/>
      <c r="M5" s="28"/>
      <c r="N5" s="28"/>
    </row>
    <row r="6" spans="1:14" s="29" customFormat="1" ht="15" customHeight="1">
      <c r="A6" s="40">
        <v>37664</v>
      </c>
      <c r="B6" s="24">
        <v>80</v>
      </c>
      <c r="C6" s="24" t="s">
        <v>69</v>
      </c>
      <c r="D6" s="25">
        <v>5</v>
      </c>
      <c r="E6" s="25">
        <v>5</v>
      </c>
      <c r="F6" s="26"/>
      <c r="G6" s="26" t="s">
        <v>81</v>
      </c>
      <c r="H6" s="25">
        <v>2750</v>
      </c>
      <c r="I6" s="27" t="s">
        <v>82</v>
      </c>
      <c r="J6" s="30"/>
      <c r="K6" s="28"/>
      <c r="L6" s="28"/>
      <c r="M6" s="28"/>
      <c r="N6" s="28"/>
    </row>
    <row r="7" spans="1:14" s="29" customFormat="1" ht="15" customHeight="1">
      <c r="A7" s="40" t="s">
        <v>83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5" customHeight="1">
      <c r="A10" s="40"/>
      <c r="B10" s="24"/>
      <c r="C10" s="24"/>
      <c r="D10" s="25"/>
      <c r="E10" s="25"/>
      <c r="F10" s="26"/>
      <c r="G10" s="26"/>
      <c r="H10" s="25"/>
      <c r="I10" s="27"/>
      <c r="J10" s="30"/>
      <c r="K10" s="28"/>
      <c r="L10" s="28"/>
      <c r="M10" s="28"/>
      <c r="N10" s="28"/>
    </row>
    <row r="11" spans="1:14" s="29" customFormat="1" ht="18" customHeight="1">
      <c r="A11" s="41"/>
      <c r="B11" s="24"/>
      <c r="C11" s="24"/>
      <c r="D11" s="25"/>
      <c r="E11" s="33"/>
      <c r="F11" s="34"/>
      <c r="G11" s="4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38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8" customHeight="1">
      <c r="A13" s="40"/>
      <c r="B13" s="24"/>
      <c r="C13" s="24"/>
      <c r="D13" s="25"/>
      <c r="E13" s="33"/>
      <c r="F13" s="34"/>
      <c r="G13" s="34"/>
      <c r="H13" s="33"/>
      <c r="I13" s="35"/>
      <c r="J13" s="36"/>
      <c r="K13" s="37"/>
      <c r="L13" s="37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7"/>
      <c r="J14" s="30"/>
      <c r="K14" s="31"/>
      <c r="L14" s="28"/>
      <c r="M14" s="28"/>
      <c r="N14" s="28"/>
    </row>
    <row r="15" spans="1:14" s="29" customFormat="1" ht="15" customHeight="1">
      <c r="A15" s="40"/>
      <c r="B15" s="24"/>
      <c r="C15" s="24"/>
      <c r="D15" s="25"/>
      <c r="E15" s="25"/>
      <c r="F15" s="26"/>
      <c r="G15" s="26"/>
      <c r="H15" s="25"/>
      <c r="I15" s="28"/>
      <c r="J15" s="30"/>
      <c r="K15" s="31"/>
      <c r="L15" s="28"/>
      <c r="M15" s="28"/>
      <c r="N15" s="28"/>
    </row>
    <row r="16" spans="1:14" s="2" customFormat="1" ht="18" customHeight="1">
      <c r="A16" s="42"/>
      <c r="B16" s="20"/>
      <c r="C16" s="20"/>
      <c r="D16" s="15"/>
      <c r="E16" s="15"/>
      <c r="F16" s="22"/>
      <c r="G16" s="22"/>
      <c r="H16" s="15"/>
      <c r="I16" s="23"/>
      <c r="J16" s="17"/>
      <c r="K16"/>
      <c r="L16" s="4"/>
      <c r="M16" s="4"/>
      <c r="N16" s="4"/>
    </row>
    <row r="17" spans="10:14" ht="15" customHeight="1">
      <c r="J17" s="32"/>
      <c r="M17"/>
      <c r="N17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3.3523234420000004E-05</v>
      </c>
      <c r="L2" s="55">
        <v>1.2471732022421133E-07</v>
      </c>
      <c r="M2" s="55">
        <v>0.00010305313399999998</v>
      </c>
      <c r="N2" s="56">
        <v>5.4770751661477606E-08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-3.252859358E-05</v>
      </c>
      <c r="L3" s="55">
        <v>2.6881074507684177E-08</v>
      </c>
      <c r="M3" s="55">
        <v>1.5384326E-05</v>
      </c>
      <c r="N3" s="56">
        <v>1.2156553012251546E-07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-0.0022554987929659957</v>
      </c>
      <c r="L4" s="55">
        <v>2.5337066486576005E-05</v>
      </c>
      <c r="M4" s="55">
        <v>4.0207472551343806E-08</v>
      </c>
      <c r="N4" s="56">
        <v>-5.6164962</v>
      </c>
    </row>
    <row r="5" spans="1:14" ht="15" customHeight="1" thickBot="1">
      <c r="A5" t="s">
        <v>18</v>
      </c>
      <c r="B5" s="59">
        <v>37957.30097222222</v>
      </c>
      <c r="D5" s="60"/>
      <c r="E5" s="61" t="s">
        <v>59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2750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7" t="s">
        <v>27</v>
      </c>
      <c r="B8" s="72" t="s">
        <v>28</v>
      </c>
      <c r="D8" s="77">
        <v>0.74976292</v>
      </c>
      <c r="E8" s="78">
        <v>0.0058938056240784905</v>
      </c>
      <c r="F8" s="78">
        <v>4.1871957</v>
      </c>
      <c r="G8" s="78">
        <v>0.020206202524412943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0.2830001314</v>
      </c>
      <c r="E9" s="80">
        <v>0.019312616706712037</v>
      </c>
      <c r="F9" s="80">
        <v>-0.0005405399999999921</v>
      </c>
      <c r="G9" s="80">
        <v>0.015299612731288333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-0.20463596</v>
      </c>
      <c r="E10" s="80">
        <v>0.004617037970646387</v>
      </c>
      <c r="F10" s="80">
        <v>0.93009354</v>
      </c>
      <c r="G10" s="80">
        <v>0.015500680564458087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1</v>
      </c>
      <c r="D11" s="77">
        <v>4.9520784</v>
      </c>
      <c r="E11" s="78">
        <v>0.009056212924602245</v>
      </c>
      <c r="F11" s="78">
        <v>-0.21686275</v>
      </c>
      <c r="G11" s="78">
        <v>0.008146786390657718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0.28017018</v>
      </c>
      <c r="E12" s="80">
        <v>0.008705581398884457</v>
      </c>
      <c r="F12" s="80">
        <v>0.44958238</v>
      </c>
      <c r="G12" s="80">
        <v>0.004549611538420572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18.875123</v>
      </c>
      <c r="D13" s="83">
        <v>-0.08549957738000002</v>
      </c>
      <c r="E13" s="80">
        <v>0.0024240323190632394</v>
      </c>
      <c r="F13" s="80">
        <v>-0.20547827999999999</v>
      </c>
      <c r="G13" s="80">
        <v>0.006676249251158361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-0.0023994039999999986</v>
      </c>
      <c r="E14" s="80">
        <v>0.002688090343813614</v>
      </c>
      <c r="F14" s="80">
        <v>0.12202955</v>
      </c>
      <c r="G14" s="80">
        <v>0.005460173711339224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-0.36156005</v>
      </c>
      <c r="E15" s="78">
        <v>0.0020049019756541338</v>
      </c>
      <c r="F15" s="78">
        <v>-0.018785712000000003</v>
      </c>
      <c r="G15" s="78">
        <v>0.003071167507826216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12.514000000000001</v>
      </c>
      <c r="D16" s="83">
        <v>0.015479455099999997</v>
      </c>
      <c r="E16" s="80">
        <v>0.002215043108452903</v>
      </c>
      <c r="F16" s="80">
        <v>0.026789605499999997</v>
      </c>
      <c r="G16" s="80">
        <v>0.0019485058363656615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-0.41200000047683716</v>
      </c>
      <c r="D17" s="83">
        <v>-0.019089268</v>
      </c>
      <c r="E17" s="80">
        <v>0.0015909498858593986</v>
      </c>
      <c r="F17" s="80">
        <v>-0.018298412699999995</v>
      </c>
      <c r="G17" s="80">
        <v>0.0012695694484533805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19.327999114990234</v>
      </c>
      <c r="D18" s="83">
        <v>0.0226165146</v>
      </c>
      <c r="E18" s="80">
        <v>0.0011190107869203632</v>
      </c>
      <c r="F18" s="80">
        <v>0.08124857199999999</v>
      </c>
      <c r="G18" s="80">
        <v>0.001148556186913107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-0.460999995470047</v>
      </c>
      <c r="D19" s="86">
        <v>-0.19007106999999998</v>
      </c>
      <c r="E19" s="80">
        <v>0.0011306799421616092</v>
      </c>
      <c r="F19" s="80">
        <v>0.00873285194</v>
      </c>
      <c r="G19" s="80">
        <v>0.00218386725076063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0.261351</v>
      </c>
      <c r="D20" s="88">
        <v>-0.00553019573</v>
      </c>
      <c r="E20" s="89">
        <v>0.00046065979354806784</v>
      </c>
      <c r="F20" s="89">
        <v>-0.004839293999999999</v>
      </c>
      <c r="G20" s="89">
        <v>0.0013243215247631527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0.773786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-0.3218017997256167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-2.2556410999999996</v>
      </c>
      <c r="I25" s="101" t="s">
        <v>49</v>
      </c>
      <c r="J25" s="102"/>
      <c r="K25" s="101"/>
      <c r="L25" s="104">
        <v>4.956824581532428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4.253792691975646</v>
      </c>
      <c r="I26" s="106" t="s">
        <v>53</v>
      </c>
      <c r="J26" s="107"/>
      <c r="K26" s="106"/>
      <c r="L26" s="109">
        <v>0.362047749242209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HCMQAP141_pos1ap2res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5.6309193000000014E-05</v>
      </c>
      <c r="L2" s="55">
        <v>1.4724512315924126E-07</v>
      </c>
      <c r="M2" s="55">
        <v>6.7872633E-05</v>
      </c>
      <c r="N2" s="56">
        <v>2.0248117060007703E-07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-2.9836781000000003E-05</v>
      </c>
      <c r="L3" s="55">
        <v>8.201092844176337E-08</v>
      </c>
      <c r="M3" s="55">
        <v>1.4081084999999999E-05</v>
      </c>
      <c r="N3" s="56">
        <v>1.323657706131085E-07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-0.003754982802712493</v>
      </c>
      <c r="L4" s="55">
        <v>1.7589539773185086E-05</v>
      </c>
      <c r="M4" s="55">
        <v>2.6311593452428134E-08</v>
      </c>
      <c r="N4" s="56">
        <v>-2.3421426999999997</v>
      </c>
    </row>
    <row r="5" spans="1:14" ht="15" customHeight="1" thickBot="1">
      <c r="A5" t="s">
        <v>18</v>
      </c>
      <c r="B5" s="59">
        <v>37957.30552083333</v>
      </c>
      <c r="D5" s="60"/>
      <c r="E5" s="61" t="s">
        <v>71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2750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7" t="s">
        <v>27</v>
      </c>
      <c r="B8" s="72" t="s">
        <v>28</v>
      </c>
      <c r="D8" s="77">
        <v>1.7608643999999998</v>
      </c>
      <c r="E8" s="78">
        <v>0.005656954687886028</v>
      </c>
      <c r="F8" s="78">
        <v>1.5135273</v>
      </c>
      <c r="G8" s="78">
        <v>0.010868760856666592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0.79489523</v>
      </c>
      <c r="E9" s="80">
        <v>0.010284144069033298</v>
      </c>
      <c r="F9" s="80">
        <v>0.7071712500000001</v>
      </c>
      <c r="G9" s="80">
        <v>0.01250110824834229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-0.46239691</v>
      </c>
      <c r="E10" s="80">
        <v>0.005407364664824132</v>
      </c>
      <c r="F10" s="80">
        <v>1.0473772000000001</v>
      </c>
      <c r="G10" s="80">
        <v>0.0052445646683181284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2</v>
      </c>
      <c r="D11" s="77">
        <v>4.3213487</v>
      </c>
      <c r="E11" s="78">
        <v>0.002063223027312418</v>
      </c>
      <c r="F11" s="78">
        <v>0.38140046000000005</v>
      </c>
      <c r="G11" s="78">
        <v>0.004504396088862681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0.27420761000000005</v>
      </c>
      <c r="E12" s="80">
        <v>0.0043774398481748605</v>
      </c>
      <c r="F12" s="80">
        <v>-0.077147213</v>
      </c>
      <c r="G12" s="80">
        <v>0.004737903372697146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19.149781</v>
      </c>
      <c r="D13" s="83">
        <v>0.16345929999999997</v>
      </c>
      <c r="E13" s="80">
        <v>0.0038726602416174617</v>
      </c>
      <c r="F13" s="80">
        <v>0.38774572</v>
      </c>
      <c r="G13" s="80">
        <v>0.0035028480573098732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-0.047088558999999995</v>
      </c>
      <c r="E14" s="80">
        <v>0.003033159740731492</v>
      </c>
      <c r="F14" s="80">
        <v>0.06729199699999999</v>
      </c>
      <c r="G14" s="80">
        <v>0.0030872764548412097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-0.1608018</v>
      </c>
      <c r="E15" s="78">
        <v>0.0010104148974574426</v>
      </c>
      <c r="F15" s="78">
        <v>0.17253476</v>
      </c>
      <c r="G15" s="78">
        <v>0.0016396647155445948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12.514000000000001</v>
      </c>
      <c r="D16" s="83">
        <v>0.023354152499999996</v>
      </c>
      <c r="E16" s="80">
        <v>0.0013414191653991039</v>
      </c>
      <c r="F16" s="80">
        <v>-0.0079952155</v>
      </c>
      <c r="G16" s="80">
        <v>0.002308393969979195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0.4729999899864197</v>
      </c>
      <c r="D17" s="83">
        <v>0.004480626999999999</v>
      </c>
      <c r="E17" s="80">
        <v>0.0018582801451519644</v>
      </c>
      <c r="F17" s="80">
        <v>0.07087829400000001</v>
      </c>
      <c r="G17" s="80">
        <v>0.0010517135435818903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2.5429999828338623</v>
      </c>
      <c r="D18" s="83">
        <v>0.019621315900000002</v>
      </c>
      <c r="E18" s="80">
        <v>0.0006726384040800335</v>
      </c>
      <c r="F18" s="80">
        <v>0.016322913</v>
      </c>
      <c r="G18" s="80">
        <v>0.0005817077997379818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0.41200000047683716</v>
      </c>
      <c r="D19" s="86">
        <v>-0.1559071</v>
      </c>
      <c r="E19" s="80">
        <v>0.0007128721912136315</v>
      </c>
      <c r="F19" s="80">
        <v>0.022942043000000002</v>
      </c>
      <c r="G19" s="80">
        <v>0.00036647299819495097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0.2563586</v>
      </c>
      <c r="D20" s="88">
        <v>0.0041647592499999995</v>
      </c>
      <c r="E20" s="89">
        <v>0.0006116509644541581</v>
      </c>
      <c r="F20" s="89">
        <v>0.00203780723</v>
      </c>
      <c r="G20" s="89">
        <v>0.0010419671754805322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0.306079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-0.13419500507704696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-3.755024</v>
      </c>
      <c r="I25" s="101" t="s">
        <v>49</v>
      </c>
      <c r="J25" s="102"/>
      <c r="K25" s="101"/>
      <c r="L25" s="104">
        <v>4.33814717337712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2.321940637275779</v>
      </c>
      <c r="I26" s="106" t="s">
        <v>53</v>
      </c>
      <c r="J26" s="107"/>
      <c r="K26" s="106"/>
      <c r="L26" s="109">
        <v>0.23585050835539365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HCMQAP141_pos2ap2res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6.0313797999999986E-05</v>
      </c>
      <c r="L2" s="55">
        <v>1.255504852533978E-07</v>
      </c>
      <c r="M2" s="55">
        <v>5.6955921999999995E-05</v>
      </c>
      <c r="N2" s="56">
        <v>1.6928109364825656E-07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-2.8488622000000004E-05</v>
      </c>
      <c r="L3" s="55">
        <v>9.065168087796267E-08</v>
      </c>
      <c r="M3" s="55">
        <v>1.1637760000000001E-05</v>
      </c>
      <c r="N3" s="56">
        <v>1.6989590692530274E-07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-0.0037557152707012953</v>
      </c>
      <c r="L4" s="55">
        <v>-8.808400334797496E-06</v>
      </c>
      <c r="M4" s="55">
        <v>2.4197859278805355E-08</v>
      </c>
      <c r="N4" s="56">
        <v>1.1726640000000002</v>
      </c>
    </row>
    <row r="5" spans="1:14" ht="15" customHeight="1" thickBot="1">
      <c r="A5" t="s">
        <v>18</v>
      </c>
      <c r="B5" s="59">
        <v>37957.30998842593</v>
      </c>
      <c r="D5" s="60"/>
      <c r="E5" s="61" t="s">
        <v>74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2750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7" t="s">
        <v>27</v>
      </c>
      <c r="B8" s="72" t="s">
        <v>28</v>
      </c>
      <c r="D8" s="77">
        <v>2.3654494</v>
      </c>
      <c r="E8" s="78">
        <v>0.016916092700121673</v>
      </c>
      <c r="F8" s="78">
        <v>3.1964394</v>
      </c>
      <c r="G8" s="78">
        <v>0.0173576253370121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0.27564334199999996</v>
      </c>
      <c r="E9" s="80">
        <v>0.011187169837148857</v>
      </c>
      <c r="F9" s="80">
        <v>0.85987229</v>
      </c>
      <c r="G9" s="80">
        <v>0.006917711439151046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-1.1607543</v>
      </c>
      <c r="E10" s="80">
        <v>0.0014403685501043469</v>
      </c>
      <c r="F10" s="80">
        <v>1.6201136999999999</v>
      </c>
      <c r="G10" s="80">
        <v>0.005524828220005139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3</v>
      </c>
      <c r="D11" s="77">
        <v>4.3118946000000005</v>
      </c>
      <c r="E11" s="78">
        <v>0.0021761148015055714</v>
      </c>
      <c r="F11" s="78">
        <v>-0.071081111</v>
      </c>
      <c r="G11" s="78">
        <v>0.008761440055339902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-0.08473476399999999</v>
      </c>
      <c r="E12" s="80">
        <v>0.003322661860062551</v>
      </c>
      <c r="F12" s="80">
        <v>-0.16593260999999998</v>
      </c>
      <c r="G12" s="80">
        <v>0.002141558745259429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19.421387</v>
      </c>
      <c r="D13" s="83">
        <v>-0.12184960600000001</v>
      </c>
      <c r="E13" s="80">
        <v>0.00292711114822961</v>
      </c>
      <c r="F13" s="80">
        <v>0.2276455</v>
      </c>
      <c r="G13" s="80">
        <v>0.004845591176523918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-0.1274416</v>
      </c>
      <c r="E14" s="80">
        <v>0.0013360876389666605</v>
      </c>
      <c r="F14" s="80">
        <v>0.17967809999999998</v>
      </c>
      <c r="G14" s="80">
        <v>0.0022810987788804402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-0.113807999</v>
      </c>
      <c r="E15" s="78">
        <v>0.0013518586773671368</v>
      </c>
      <c r="F15" s="78">
        <v>0.13372314000000002</v>
      </c>
      <c r="G15" s="78">
        <v>0.0027981095238386743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12.514199999999999</v>
      </c>
      <c r="D16" s="83">
        <v>0.0004978765</v>
      </c>
      <c r="E16" s="80">
        <v>0.0010376529411549897</v>
      </c>
      <c r="F16" s="80">
        <v>-0.006576917739999999</v>
      </c>
      <c r="G16" s="80">
        <v>0.0009516604426633832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-0.15700000524520874</v>
      </c>
      <c r="D17" s="83">
        <v>0.002899528</v>
      </c>
      <c r="E17" s="80">
        <v>0.000631984364748051</v>
      </c>
      <c r="F17" s="80">
        <v>0.039482742</v>
      </c>
      <c r="G17" s="80">
        <v>0.0007872343452024904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14.241999626159668</v>
      </c>
      <c r="D18" s="83">
        <v>0.025137677999999997</v>
      </c>
      <c r="E18" s="80">
        <v>0.0009762036460165874</v>
      </c>
      <c r="F18" s="80">
        <v>0.0038972515299999996</v>
      </c>
      <c r="G18" s="80">
        <v>0.0013249433806153544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-0.19200000166893005</v>
      </c>
      <c r="D19" s="86">
        <v>-0.16541248</v>
      </c>
      <c r="E19" s="80">
        <v>0.0009557176123732359</v>
      </c>
      <c r="F19" s="80">
        <v>0.015456584300000001</v>
      </c>
      <c r="G19" s="80">
        <v>0.0010207904808226767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0.2723936</v>
      </c>
      <c r="D20" s="88">
        <v>0.00616940984</v>
      </c>
      <c r="E20" s="89">
        <v>0.0007679254071294781</v>
      </c>
      <c r="F20" s="89">
        <v>0.0041609695</v>
      </c>
      <c r="G20" s="89">
        <v>0.0009485530920731858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0.2584493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0.06718875473884245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-3.7557256000000003</v>
      </c>
      <c r="I25" s="101" t="s">
        <v>49</v>
      </c>
      <c r="J25" s="102"/>
      <c r="K25" s="101"/>
      <c r="L25" s="104">
        <v>4.312480442373062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3.9765029488022163</v>
      </c>
      <c r="I26" s="106" t="s">
        <v>53</v>
      </c>
      <c r="J26" s="107"/>
      <c r="K26" s="106"/>
      <c r="L26" s="109">
        <v>0.17559652276694893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HCMQAP141_pos3ap2res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7.3445348E-05</v>
      </c>
      <c r="L2" s="55">
        <v>1.4191348514588416E-07</v>
      </c>
      <c r="M2" s="55">
        <v>0.00011997852999999999</v>
      </c>
      <c r="N2" s="56">
        <v>1.5620466574900825E-07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-2.8930812E-05</v>
      </c>
      <c r="L3" s="55">
        <v>1.0137657237236011E-07</v>
      </c>
      <c r="M3" s="55">
        <v>9.89337E-06</v>
      </c>
      <c r="N3" s="56">
        <v>2.290411482681867E-07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-0.003753207083583643</v>
      </c>
      <c r="L4" s="55">
        <v>-3.477689619280951E-05</v>
      </c>
      <c r="M4" s="55">
        <v>6.11069868295227E-08</v>
      </c>
      <c r="N4" s="56">
        <v>4.6328247000000005</v>
      </c>
    </row>
    <row r="5" spans="1:14" ht="15" customHeight="1" thickBot="1">
      <c r="A5" t="s">
        <v>18</v>
      </c>
      <c r="B5" s="59">
        <v>37957.31453703704</v>
      </c>
      <c r="D5" s="60"/>
      <c r="E5" s="61" t="s">
        <v>77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2750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7" t="s">
        <v>27</v>
      </c>
      <c r="B8" s="72" t="s">
        <v>28</v>
      </c>
      <c r="D8" s="77">
        <v>2.735589</v>
      </c>
      <c r="E8" s="78">
        <v>0.00914868256636829</v>
      </c>
      <c r="F8" s="78">
        <v>2.133435</v>
      </c>
      <c r="G8" s="78">
        <v>0.0031264864783951338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-0.5269980200000001</v>
      </c>
      <c r="E9" s="80">
        <v>0.007706252778914396</v>
      </c>
      <c r="F9" s="80">
        <v>1.8246530000000003</v>
      </c>
      <c r="G9" s="80">
        <v>0.010852063084915178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-0.96888106</v>
      </c>
      <c r="E10" s="80">
        <v>0.003590232296166372</v>
      </c>
      <c r="F10" s="80">
        <v>1.1134572000000003</v>
      </c>
      <c r="G10" s="80">
        <v>0.007787302444350072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4</v>
      </c>
      <c r="D11" s="77">
        <v>5.1041024</v>
      </c>
      <c r="E11" s="78">
        <v>0.0050797708056525915</v>
      </c>
      <c r="F11" s="78">
        <v>-0.081376227</v>
      </c>
      <c r="G11" s="78">
        <v>0.0041801881021116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-0.07692048100000001</v>
      </c>
      <c r="E12" s="80">
        <v>0.00392687768989973</v>
      </c>
      <c r="F12" s="80">
        <v>0.056043628</v>
      </c>
      <c r="G12" s="80">
        <v>0.0055164642690582735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19.677735</v>
      </c>
      <c r="D13" s="83">
        <v>-0.21006410999999997</v>
      </c>
      <c r="E13" s="80">
        <v>0.001881708764236065</v>
      </c>
      <c r="F13" s="80">
        <v>0.23725552</v>
      </c>
      <c r="G13" s="80">
        <v>0.003893998258167146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-0.11824364999999999</v>
      </c>
      <c r="E14" s="80">
        <v>0.002771064994677873</v>
      </c>
      <c r="F14" s="80">
        <v>0.11037741999999999</v>
      </c>
      <c r="G14" s="80">
        <v>0.0028511994498106284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-0.080715082</v>
      </c>
      <c r="E15" s="78">
        <v>0.0023287448318756133</v>
      </c>
      <c r="F15" s="78">
        <v>0.031125315999999997</v>
      </c>
      <c r="G15" s="78">
        <v>0.0022856646310677768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12.514499999999998</v>
      </c>
      <c r="D16" s="83">
        <v>0.0029569238</v>
      </c>
      <c r="E16" s="80">
        <v>0.0015051802223019874</v>
      </c>
      <c r="F16" s="80">
        <v>0.009008646230000002</v>
      </c>
      <c r="G16" s="80">
        <v>0.002107210992097626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0.35499998927116394</v>
      </c>
      <c r="D17" s="83">
        <v>0.000817835</v>
      </c>
      <c r="E17" s="80">
        <v>0.0023459245314097384</v>
      </c>
      <c r="F17" s="80">
        <v>0.036795917</v>
      </c>
      <c r="G17" s="80">
        <v>0.0009898564546165088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2.0350000858306885</v>
      </c>
      <c r="D18" s="83">
        <v>0.033877185</v>
      </c>
      <c r="E18" s="80">
        <v>0.0017553928793862645</v>
      </c>
      <c r="F18" s="80">
        <v>0.041283211</v>
      </c>
      <c r="G18" s="80">
        <v>0.0009257230966190378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0.28999999165534973</v>
      </c>
      <c r="D19" s="86">
        <v>-0.17177356</v>
      </c>
      <c r="E19" s="80">
        <v>0.0013094247696611226</v>
      </c>
      <c r="F19" s="80">
        <v>0.008985863773</v>
      </c>
      <c r="G19" s="80">
        <v>0.0010151421292964218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0.3275865</v>
      </c>
      <c r="D20" s="88">
        <v>0.0067075951</v>
      </c>
      <c r="E20" s="89">
        <v>0.0004867875523452084</v>
      </c>
      <c r="F20" s="89">
        <v>0.000729489662</v>
      </c>
      <c r="G20" s="89">
        <v>0.0006343531623914173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0.5464773999999999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0.2654415267428277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-3.7533682</v>
      </c>
      <c r="I25" s="101" t="s">
        <v>49</v>
      </c>
      <c r="J25" s="102"/>
      <c r="K25" s="101"/>
      <c r="L25" s="104">
        <v>5.104751061511866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3.4691486096946034</v>
      </c>
      <c r="I26" s="106" t="s">
        <v>53</v>
      </c>
      <c r="J26" s="107"/>
      <c r="K26" s="106"/>
      <c r="L26" s="109">
        <v>0.08650843749812258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HCMQAP141_pos4ap2res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3.155479576E-05</v>
      </c>
      <c r="L2" s="55">
        <v>1.2587376144706067E-07</v>
      </c>
      <c r="M2" s="55">
        <v>9.760993800000001E-05</v>
      </c>
      <c r="N2" s="56">
        <v>1.2209076355163986E-07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-3.0862452239999996E-05</v>
      </c>
      <c r="L3" s="55">
        <v>1.5054036983270166E-07</v>
      </c>
      <c r="M3" s="55">
        <v>9.015742E-06</v>
      </c>
      <c r="N3" s="56">
        <v>1.1899390331451582E-07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-0.0020855697684780843</v>
      </c>
      <c r="L4" s="55">
        <v>-3.326868200393809E-05</v>
      </c>
      <c r="M4" s="55">
        <v>5.876257996956536E-08</v>
      </c>
      <c r="N4" s="56">
        <v>7.975245199999999</v>
      </c>
    </row>
    <row r="5" spans="1:14" ht="15" customHeight="1" thickBot="1">
      <c r="A5" t="s">
        <v>18</v>
      </c>
      <c r="B5" s="59">
        <v>37957.319074074076</v>
      </c>
      <c r="D5" s="60"/>
      <c r="E5" s="61" t="s">
        <v>80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2750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7" t="s">
        <v>27</v>
      </c>
      <c r="B8" s="72" t="s">
        <v>28</v>
      </c>
      <c r="D8" s="77">
        <v>-0.33220058</v>
      </c>
      <c r="E8" s="78">
        <v>0.021735947857445332</v>
      </c>
      <c r="F8" s="114">
        <v>6.216632000000001</v>
      </c>
      <c r="G8" s="78">
        <v>0.016088105456986298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-0.9152346999999998</v>
      </c>
      <c r="E9" s="80">
        <v>0.02817212982919948</v>
      </c>
      <c r="F9" s="115">
        <v>3.2365732</v>
      </c>
      <c r="G9" s="80">
        <v>0.017467913952735458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-0.52933911</v>
      </c>
      <c r="E10" s="80">
        <v>0.022059214674537996</v>
      </c>
      <c r="F10" s="80">
        <v>-0.8864060699999999</v>
      </c>
      <c r="G10" s="80">
        <v>0.00981865954907629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5</v>
      </c>
      <c r="D11" s="116">
        <v>15.433596999999997</v>
      </c>
      <c r="E11" s="78">
        <v>0.006051884501553345</v>
      </c>
      <c r="F11" s="78">
        <v>1.4861394999999997</v>
      </c>
      <c r="G11" s="78">
        <v>0.007809018376238702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-0.26779459</v>
      </c>
      <c r="E12" s="80">
        <v>0.00561795437231357</v>
      </c>
      <c r="F12" s="115">
        <v>0.6529974599999999</v>
      </c>
      <c r="G12" s="80">
        <v>0.007786243965840459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19.91272</v>
      </c>
      <c r="D13" s="83">
        <v>-0.257125</v>
      </c>
      <c r="E13" s="80">
        <v>0.00397162975452127</v>
      </c>
      <c r="F13" s="115">
        <v>0.49622226999999997</v>
      </c>
      <c r="G13" s="80">
        <v>0.006445043031324463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-0.038447641</v>
      </c>
      <c r="E14" s="80">
        <v>0.0025966017640551378</v>
      </c>
      <c r="F14" s="80">
        <v>-0.012704191999999998</v>
      </c>
      <c r="G14" s="80">
        <v>0.007936983378952362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-0.3778217</v>
      </c>
      <c r="E15" s="78">
        <v>0.002882128061344959</v>
      </c>
      <c r="F15" s="78">
        <v>0.25153874000000004</v>
      </c>
      <c r="G15" s="78">
        <v>0.005095238088389854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12.5147</v>
      </c>
      <c r="D16" s="83">
        <v>-0.0031280595</v>
      </c>
      <c r="E16" s="80">
        <v>0.0033036129273724553</v>
      </c>
      <c r="F16" s="80">
        <v>0.043419478</v>
      </c>
      <c r="G16" s="80">
        <v>0.0020435707082129156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-0.3070000112056732</v>
      </c>
      <c r="D17" s="83">
        <v>-0.0274347762</v>
      </c>
      <c r="E17" s="80">
        <v>0.0027294036833656063</v>
      </c>
      <c r="F17" s="80">
        <v>0.05030814499999999</v>
      </c>
      <c r="G17" s="80">
        <v>0.002011036854729677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33.569000244140625</v>
      </c>
      <c r="D18" s="83">
        <v>-0.0094955121</v>
      </c>
      <c r="E18" s="80">
        <v>0.0014829042643805567</v>
      </c>
      <c r="F18" s="80">
        <v>0.057978919000000004</v>
      </c>
      <c r="G18" s="80">
        <v>0.0016965110474688894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-0.3869999945163727</v>
      </c>
      <c r="D19" s="83">
        <v>-0.1296004</v>
      </c>
      <c r="E19" s="80">
        <v>0.0018854900983567141</v>
      </c>
      <c r="F19" s="80">
        <v>-0.018499438459999996</v>
      </c>
      <c r="G19" s="80">
        <v>0.0012858416309854813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0.24443160000000003</v>
      </c>
      <c r="D20" s="88">
        <v>0.00421884675</v>
      </c>
      <c r="E20" s="89">
        <v>0.0010419173601615608</v>
      </c>
      <c r="F20" s="89">
        <v>0.002901356194</v>
      </c>
      <c r="G20" s="89">
        <v>0.0009889284504803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0.7995493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0.4569482765096654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-2.0858350999999997</v>
      </c>
      <c r="I25" s="101" t="s">
        <v>49</v>
      </c>
      <c r="J25" s="102"/>
      <c r="K25" s="101"/>
      <c r="L25" s="104">
        <v>15.504983939748831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6.225501638324123</v>
      </c>
      <c r="I26" s="106" t="s">
        <v>53</v>
      </c>
      <c r="J26" s="107"/>
      <c r="K26" s="106"/>
      <c r="L26" s="109">
        <v>0.4538953345339403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HCMQAP141_pos5ap2res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G35"/>
  <sheetViews>
    <sheetView workbookViewId="0" topLeftCell="A1">
      <selection activeCell="B1" sqref="B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39" t="s">
        <v>120</v>
      </c>
      <c r="B1" s="131" t="s">
        <v>68</v>
      </c>
      <c r="C1" s="121" t="s">
        <v>72</v>
      </c>
      <c r="D1" s="121" t="s">
        <v>75</v>
      </c>
      <c r="E1" s="121" t="s">
        <v>78</v>
      </c>
      <c r="F1" s="128" t="s">
        <v>81</v>
      </c>
      <c r="G1" s="162" t="s">
        <v>121</v>
      </c>
    </row>
    <row r="2" spans="1:7" ht="13.5" thickBot="1">
      <c r="A2" s="140" t="s">
        <v>90</v>
      </c>
      <c r="B2" s="132">
        <v>-2.2556410999999996</v>
      </c>
      <c r="C2" s="123">
        <v>-3.755024</v>
      </c>
      <c r="D2" s="123">
        <v>-3.7557256000000003</v>
      </c>
      <c r="E2" s="123">
        <v>-3.7533682</v>
      </c>
      <c r="F2" s="129">
        <v>-2.0858350999999997</v>
      </c>
      <c r="G2" s="163">
        <v>3.1167913408895633</v>
      </c>
    </row>
    <row r="3" spans="1:7" ht="14.25" thickBot="1" thickTop="1">
      <c r="A3" s="148" t="s">
        <v>89</v>
      </c>
      <c r="B3" s="149" t="s">
        <v>84</v>
      </c>
      <c r="C3" s="150" t="s">
        <v>85</v>
      </c>
      <c r="D3" s="150" t="s">
        <v>86</v>
      </c>
      <c r="E3" s="150" t="s">
        <v>87</v>
      </c>
      <c r="F3" s="151" t="s">
        <v>88</v>
      </c>
      <c r="G3" s="158" t="s">
        <v>122</v>
      </c>
    </row>
    <row r="4" spans="1:7" ht="12.75">
      <c r="A4" s="145" t="s">
        <v>91</v>
      </c>
      <c r="B4" s="146">
        <v>0.74976292</v>
      </c>
      <c r="C4" s="147">
        <v>1.7608643999999998</v>
      </c>
      <c r="D4" s="147">
        <v>2.3654494</v>
      </c>
      <c r="E4" s="147">
        <v>2.735589</v>
      </c>
      <c r="F4" s="152">
        <v>-0.33220058</v>
      </c>
      <c r="G4" s="159">
        <v>1.7148991661774424</v>
      </c>
    </row>
    <row r="5" spans="1:7" ht="12.75">
      <c r="A5" s="140" t="s">
        <v>93</v>
      </c>
      <c r="B5" s="134">
        <v>0.2830001314</v>
      </c>
      <c r="C5" s="118">
        <v>0.79489523</v>
      </c>
      <c r="D5" s="118">
        <v>0.27564334199999996</v>
      </c>
      <c r="E5" s="118">
        <v>-0.5269980200000001</v>
      </c>
      <c r="F5" s="153">
        <v>-0.9152346999999998</v>
      </c>
      <c r="G5" s="160">
        <v>0.049430472054878646</v>
      </c>
    </row>
    <row r="6" spans="1:7" ht="12.75">
      <c r="A6" s="140" t="s">
        <v>95</v>
      </c>
      <c r="B6" s="134">
        <v>-0.20463596</v>
      </c>
      <c r="C6" s="118">
        <v>-0.46239691</v>
      </c>
      <c r="D6" s="118">
        <v>-1.1607543</v>
      </c>
      <c r="E6" s="118">
        <v>-0.96888106</v>
      </c>
      <c r="F6" s="153">
        <v>-0.52933911</v>
      </c>
      <c r="G6" s="160">
        <v>-0.723974548609744</v>
      </c>
    </row>
    <row r="7" spans="1:7" ht="12.75">
      <c r="A7" s="140" t="s">
        <v>97</v>
      </c>
      <c r="B7" s="133">
        <v>4.9520784</v>
      </c>
      <c r="C7" s="117">
        <v>4.3213487</v>
      </c>
      <c r="D7" s="117">
        <v>4.3118946000000005</v>
      </c>
      <c r="E7" s="117">
        <v>5.1041024</v>
      </c>
      <c r="F7" s="154">
        <v>15.433596999999997</v>
      </c>
      <c r="G7" s="160">
        <v>6.0837598724925925</v>
      </c>
    </row>
    <row r="8" spans="1:7" ht="12.75">
      <c r="A8" s="140" t="s">
        <v>99</v>
      </c>
      <c r="B8" s="134">
        <v>0.28017018</v>
      </c>
      <c r="C8" s="118">
        <v>0.27420761000000005</v>
      </c>
      <c r="D8" s="118">
        <v>-0.08473476399999999</v>
      </c>
      <c r="E8" s="118">
        <v>-0.07692048100000001</v>
      </c>
      <c r="F8" s="153">
        <v>-0.26779459</v>
      </c>
      <c r="G8" s="160">
        <v>0.03178941887403111</v>
      </c>
    </row>
    <row r="9" spans="1:7" ht="12.75">
      <c r="A9" s="140" t="s">
        <v>101</v>
      </c>
      <c r="B9" s="134">
        <v>-0.08549957738000002</v>
      </c>
      <c r="C9" s="118">
        <v>0.16345929999999997</v>
      </c>
      <c r="D9" s="118">
        <v>-0.12184960600000001</v>
      </c>
      <c r="E9" s="118">
        <v>-0.21006410999999997</v>
      </c>
      <c r="F9" s="153">
        <v>-0.257125</v>
      </c>
      <c r="G9" s="160">
        <v>-0.08724209737704786</v>
      </c>
    </row>
    <row r="10" spans="1:7" ht="12.75">
      <c r="A10" s="140" t="s">
        <v>103</v>
      </c>
      <c r="B10" s="134">
        <v>-0.0023994039999999986</v>
      </c>
      <c r="C10" s="118">
        <v>-0.047088558999999995</v>
      </c>
      <c r="D10" s="118">
        <v>-0.1274416</v>
      </c>
      <c r="E10" s="118">
        <v>-0.11824364999999999</v>
      </c>
      <c r="F10" s="153">
        <v>-0.038447641</v>
      </c>
      <c r="G10" s="160">
        <v>-0.07592623119281518</v>
      </c>
    </row>
    <row r="11" spans="1:7" ht="12.75">
      <c r="A11" s="140" t="s">
        <v>105</v>
      </c>
      <c r="B11" s="133">
        <v>-0.36156005</v>
      </c>
      <c r="C11" s="117">
        <v>-0.1608018</v>
      </c>
      <c r="D11" s="117">
        <v>-0.113807999</v>
      </c>
      <c r="E11" s="117">
        <v>-0.080715082</v>
      </c>
      <c r="F11" s="155">
        <v>-0.3778217</v>
      </c>
      <c r="G11" s="160">
        <v>-0.1882544892498928</v>
      </c>
    </row>
    <row r="12" spans="1:7" ht="12.75">
      <c r="A12" s="140" t="s">
        <v>107</v>
      </c>
      <c r="B12" s="134">
        <v>0.015479455099999997</v>
      </c>
      <c r="C12" s="118">
        <v>0.023354152499999996</v>
      </c>
      <c r="D12" s="118">
        <v>0.0004978765</v>
      </c>
      <c r="E12" s="118">
        <v>0.0029569238</v>
      </c>
      <c r="F12" s="153">
        <v>-0.0031280595</v>
      </c>
      <c r="G12" s="160">
        <v>0.008269803331021407</v>
      </c>
    </row>
    <row r="13" spans="1:7" ht="12.75">
      <c r="A13" s="140" t="s">
        <v>109</v>
      </c>
      <c r="B13" s="134">
        <v>-0.019089268</v>
      </c>
      <c r="C13" s="118">
        <v>0.004480626999999999</v>
      </c>
      <c r="D13" s="118">
        <v>0.002899528</v>
      </c>
      <c r="E13" s="118">
        <v>0.000817835</v>
      </c>
      <c r="F13" s="153">
        <v>-0.0274347762</v>
      </c>
      <c r="G13" s="160">
        <v>-0.004453443251753672</v>
      </c>
    </row>
    <row r="14" spans="1:7" ht="12.75">
      <c r="A14" s="140" t="s">
        <v>111</v>
      </c>
      <c r="B14" s="134">
        <v>0.0226165146</v>
      </c>
      <c r="C14" s="118">
        <v>0.019621315900000002</v>
      </c>
      <c r="D14" s="118">
        <v>0.025137677999999997</v>
      </c>
      <c r="E14" s="118">
        <v>0.033877185</v>
      </c>
      <c r="F14" s="153">
        <v>-0.0094955121</v>
      </c>
      <c r="G14" s="160">
        <v>0.020918841617282285</v>
      </c>
    </row>
    <row r="15" spans="1:7" ht="12.75">
      <c r="A15" s="140" t="s">
        <v>113</v>
      </c>
      <c r="B15" s="135">
        <v>-0.19007106999999998</v>
      </c>
      <c r="C15" s="119">
        <v>-0.1559071</v>
      </c>
      <c r="D15" s="119">
        <v>-0.16541248</v>
      </c>
      <c r="E15" s="119">
        <v>-0.17177356</v>
      </c>
      <c r="F15" s="153">
        <v>-0.1296004</v>
      </c>
      <c r="G15" s="160">
        <v>-0.16343276560813366</v>
      </c>
    </row>
    <row r="16" spans="1:7" ht="12.75">
      <c r="A16" s="140" t="s">
        <v>115</v>
      </c>
      <c r="B16" s="134">
        <v>-0.00553019573</v>
      </c>
      <c r="C16" s="118">
        <v>0.0041647592499999995</v>
      </c>
      <c r="D16" s="118">
        <v>0.00616940984</v>
      </c>
      <c r="E16" s="118">
        <v>0.0067075951</v>
      </c>
      <c r="F16" s="153">
        <v>0.00421884675</v>
      </c>
      <c r="G16" s="160">
        <v>0.0038647127056365906</v>
      </c>
    </row>
    <row r="17" spans="1:7" ht="12.75">
      <c r="A17" s="140" t="s">
        <v>92</v>
      </c>
      <c r="B17" s="133">
        <v>4.1871957</v>
      </c>
      <c r="C17" s="117">
        <v>1.5135273</v>
      </c>
      <c r="D17" s="117">
        <v>3.1964394</v>
      </c>
      <c r="E17" s="117">
        <v>2.133435</v>
      </c>
      <c r="F17" s="154">
        <v>6.216632000000001</v>
      </c>
      <c r="G17" s="160">
        <v>3.082710446612754</v>
      </c>
    </row>
    <row r="18" spans="1:7" ht="12.75">
      <c r="A18" s="140" t="s">
        <v>94</v>
      </c>
      <c r="B18" s="134">
        <v>-0.0005405399999999921</v>
      </c>
      <c r="C18" s="118">
        <v>0.7071712500000001</v>
      </c>
      <c r="D18" s="118">
        <v>0.85987229</v>
      </c>
      <c r="E18" s="118">
        <v>1.8246530000000003</v>
      </c>
      <c r="F18" s="156">
        <v>3.2365732</v>
      </c>
      <c r="G18" s="160">
        <v>1.2484768381400513</v>
      </c>
    </row>
    <row r="19" spans="1:7" ht="12.75">
      <c r="A19" s="140" t="s">
        <v>96</v>
      </c>
      <c r="B19" s="134">
        <v>0.93009354</v>
      </c>
      <c r="C19" s="118">
        <v>1.0473772000000001</v>
      </c>
      <c r="D19" s="118">
        <v>1.6201136999999999</v>
      </c>
      <c r="E19" s="118">
        <v>1.1134572000000003</v>
      </c>
      <c r="F19" s="153">
        <v>-0.8864060699999999</v>
      </c>
      <c r="G19" s="160">
        <v>0.9256875572697842</v>
      </c>
    </row>
    <row r="20" spans="1:7" ht="12.75">
      <c r="A20" s="140" t="s">
        <v>98</v>
      </c>
      <c r="B20" s="133">
        <v>-0.21686275</v>
      </c>
      <c r="C20" s="117">
        <v>0.38140046000000005</v>
      </c>
      <c r="D20" s="117">
        <v>-0.071081111</v>
      </c>
      <c r="E20" s="117">
        <v>-0.081376227</v>
      </c>
      <c r="F20" s="155">
        <v>1.4861394999999997</v>
      </c>
      <c r="G20" s="160">
        <v>0.22238494674611817</v>
      </c>
    </row>
    <row r="21" spans="1:7" ht="12.75">
      <c r="A21" s="140" t="s">
        <v>100</v>
      </c>
      <c r="B21" s="134">
        <v>0.44958238</v>
      </c>
      <c r="C21" s="118">
        <v>-0.077147213</v>
      </c>
      <c r="D21" s="118">
        <v>-0.16593260999999998</v>
      </c>
      <c r="E21" s="118">
        <v>0.056043628</v>
      </c>
      <c r="F21" s="156">
        <v>0.6529974599999999</v>
      </c>
      <c r="G21" s="160">
        <v>0.10724403697741751</v>
      </c>
    </row>
    <row r="22" spans="1:7" ht="12.75">
      <c r="A22" s="140" t="s">
        <v>102</v>
      </c>
      <c r="B22" s="134">
        <v>-0.20547827999999999</v>
      </c>
      <c r="C22" s="118">
        <v>0.38774572</v>
      </c>
      <c r="D22" s="118">
        <v>0.2276455</v>
      </c>
      <c r="E22" s="118">
        <v>0.23725552</v>
      </c>
      <c r="F22" s="156">
        <v>0.49622226999999997</v>
      </c>
      <c r="G22" s="160">
        <v>0.2417740981379442</v>
      </c>
    </row>
    <row r="23" spans="1:7" ht="12.75">
      <c r="A23" s="140" t="s">
        <v>104</v>
      </c>
      <c r="B23" s="134">
        <v>0.12202955</v>
      </c>
      <c r="C23" s="118">
        <v>0.06729199699999999</v>
      </c>
      <c r="D23" s="118">
        <v>0.17967809999999998</v>
      </c>
      <c r="E23" s="118">
        <v>0.11037741999999999</v>
      </c>
      <c r="F23" s="153">
        <v>-0.012704191999999998</v>
      </c>
      <c r="G23" s="160">
        <v>0.1019216455779958</v>
      </c>
    </row>
    <row r="24" spans="1:7" ht="12.75">
      <c r="A24" s="140" t="s">
        <v>106</v>
      </c>
      <c r="B24" s="133">
        <v>-0.018785712000000003</v>
      </c>
      <c r="C24" s="117">
        <v>0.17253476</v>
      </c>
      <c r="D24" s="117">
        <v>0.13372314000000002</v>
      </c>
      <c r="E24" s="117">
        <v>0.031125315999999997</v>
      </c>
      <c r="F24" s="155">
        <v>0.25153874000000004</v>
      </c>
      <c r="G24" s="160">
        <v>0.11208922037544909</v>
      </c>
    </row>
    <row r="25" spans="1:7" ht="12.75">
      <c r="A25" s="140" t="s">
        <v>108</v>
      </c>
      <c r="B25" s="134">
        <v>0.026789605499999997</v>
      </c>
      <c r="C25" s="118">
        <v>-0.0079952155</v>
      </c>
      <c r="D25" s="118">
        <v>-0.006576917739999999</v>
      </c>
      <c r="E25" s="118">
        <v>0.009008646230000002</v>
      </c>
      <c r="F25" s="153">
        <v>0.043419478</v>
      </c>
      <c r="G25" s="160">
        <v>0.008335667859006942</v>
      </c>
    </row>
    <row r="26" spans="1:7" ht="12.75">
      <c r="A26" s="140" t="s">
        <v>110</v>
      </c>
      <c r="B26" s="134">
        <v>-0.018298412699999995</v>
      </c>
      <c r="C26" s="118">
        <v>0.07087829400000001</v>
      </c>
      <c r="D26" s="118">
        <v>0.039482742</v>
      </c>
      <c r="E26" s="118">
        <v>0.036795917</v>
      </c>
      <c r="F26" s="153">
        <v>0.05030814499999999</v>
      </c>
      <c r="G26" s="160">
        <v>0.03948612962763853</v>
      </c>
    </row>
    <row r="27" spans="1:7" ht="12.75">
      <c r="A27" s="140" t="s">
        <v>112</v>
      </c>
      <c r="B27" s="134">
        <v>0.08124857199999999</v>
      </c>
      <c r="C27" s="118">
        <v>0.016322913</v>
      </c>
      <c r="D27" s="118">
        <v>0.0038972515299999996</v>
      </c>
      <c r="E27" s="118">
        <v>0.041283211</v>
      </c>
      <c r="F27" s="153">
        <v>0.057978919000000004</v>
      </c>
      <c r="G27" s="160">
        <v>0.034287904157754484</v>
      </c>
    </row>
    <row r="28" spans="1:7" ht="12.75">
      <c r="A28" s="140" t="s">
        <v>114</v>
      </c>
      <c r="B28" s="134">
        <v>0.00873285194</v>
      </c>
      <c r="C28" s="118">
        <v>0.022942043000000002</v>
      </c>
      <c r="D28" s="118">
        <v>0.015456584300000001</v>
      </c>
      <c r="E28" s="118">
        <v>0.008985863773</v>
      </c>
      <c r="F28" s="153">
        <v>-0.018499438459999996</v>
      </c>
      <c r="G28" s="160">
        <v>0.010191042291573851</v>
      </c>
    </row>
    <row r="29" spans="1:7" ht="13.5" thickBot="1">
      <c r="A29" s="141" t="s">
        <v>116</v>
      </c>
      <c r="B29" s="136">
        <v>-0.004839293999999999</v>
      </c>
      <c r="C29" s="120">
        <v>0.00203780723</v>
      </c>
      <c r="D29" s="120">
        <v>0.0041609695</v>
      </c>
      <c r="E29" s="120">
        <v>0.000729489662</v>
      </c>
      <c r="F29" s="157">
        <v>0.002901356194</v>
      </c>
      <c r="G29" s="161">
        <v>0.0013555112463669427</v>
      </c>
    </row>
    <row r="30" spans="1:7" ht="13.5" thickTop="1">
      <c r="A30" s="142" t="s">
        <v>117</v>
      </c>
      <c r="B30" s="137">
        <v>-0.3218017997256167</v>
      </c>
      <c r="C30" s="126">
        <v>-0.13419500507704696</v>
      </c>
      <c r="D30" s="126">
        <v>0.06718875473884245</v>
      </c>
      <c r="E30" s="126">
        <v>0.2654415267428277</v>
      </c>
      <c r="F30" s="122">
        <v>0.4569482765096654</v>
      </c>
      <c r="G30" s="162" t="s">
        <v>128</v>
      </c>
    </row>
    <row r="31" spans="1:7" ht="13.5" thickBot="1">
      <c r="A31" s="143" t="s">
        <v>118</v>
      </c>
      <c r="B31" s="132">
        <v>18.875123</v>
      </c>
      <c r="C31" s="123">
        <v>19.149781</v>
      </c>
      <c r="D31" s="123">
        <v>19.421387</v>
      </c>
      <c r="E31" s="123">
        <v>19.677735</v>
      </c>
      <c r="F31" s="124">
        <v>19.91272</v>
      </c>
      <c r="G31" s="164">
        <v>-209.73</v>
      </c>
    </row>
    <row r="32" spans="1:7" ht="15.75" thickBot="1" thickTop="1">
      <c r="A32" s="144" t="s">
        <v>119</v>
      </c>
      <c r="B32" s="138">
        <v>-0.4364999979734421</v>
      </c>
      <c r="C32" s="127">
        <v>0.4424999952316284</v>
      </c>
      <c r="D32" s="127">
        <v>-0.1745000034570694</v>
      </c>
      <c r="E32" s="127">
        <v>0.32249999046325684</v>
      </c>
      <c r="F32" s="125">
        <v>-0.34700000286102295</v>
      </c>
      <c r="G32" s="130" t="s">
        <v>127</v>
      </c>
    </row>
    <row r="33" spans="1:7" ht="15" thickTop="1">
      <c r="A33" t="s">
        <v>123</v>
      </c>
      <c r="G33" s="32" t="s">
        <v>124</v>
      </c>
    </row>
    <row r="34" ht="14.25">
      <c r="A34" t="s">
        <v>125</v>
      </c>
    </row>
    <row r="35" spans="1:2" ht="12.75">
      <c r="A35" t="s">
        <v>126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70.5" style="165" bestFit="1" customWidth="1"/>
    <col min="2" max="3" width="15.33203125" style="165" bestFit="1" customWidth="1"/>
    <col min="4" max="4" width="16" style="165" bestFit="1" customWidth="1"/>
    <col min="5" max="5" width="22.16015625" style="165" bestFit="1" customWidth="1"/>
    <col min="6" max="7" width="15.33203125" style="165" bestFit="1" customWidth="1"/>
    <col min="8" max="8" width="14.16015625" style="165" bestFit="1" customWidth="1"/>
    <col min="9" max="9" width="14.83203125" style="165" bestFit="1" customWidth="1"/>
    <col min="10" max="10" width="6.33203125" style="165" bestFit="1" customWidth="1"/>
    <col min="11" max="11" width="15" style="165" bestFit="1" customWidth="1"/>
    <col min="12" max="16384" width="10.66015625" style="165" customWidth="1"/>
  </cols>
  <sheetData>
    <row r="1" spans="1:5" ht="12.75">
      <c r="A1" s="165" t="s">
        <v>129</v>
      </c>
      <c r="B1" s="165" t="s">
        <v>130</v>
      </c>
      <c r="C1" s="165" t="s">
        <v>131</v>
      </c>
      <c r="D1" s="165" t="s">
        <v>132</v>
      </c>
      <c r="E1" s="165" t="s">
        <v>28</v>
      </c>
    </row>
    <row r="3" spans="1:7" ht="12.75">
      <c r="A3" s="165" t="s">
        <v>133</v>
      </c>
      <c r="B3" s="165" t="s">
        <v>84</v>
      </c>
      <c r="C3" s="165" t="s">
        <v>85</v>
      </c>
      <c r="D3" s="165" t="s">
        <v>86</v>
      </c>
      <c r="E3" s="165" t="s">
        <v>87</v>
      </c>
      <c r="F3" s="165" t="s">
        <v>88</v>
      </c>
      <c r="G3" s="165" t="s">
        <v>134</v>
      </c>
    </row>
    <row r="4" spans="1:7" ht="12.75">
      <c r="A4" s="165" t="s">
        <v>135</v>
      </c>
      <c r="B4" s="165">
        <f>0.002253*1.0033</f>
        <v>0.0022604349</v>
      </c>
      <c r="C4" s="165">
        <f>0.003751*1.0033</f>
        <v>0.0037633783000000005</v>
      </c>
      <c r="D4" s="165">
        <f>0.003751*1.0033</f>
        <v>0.0037633783000000005</v>
      </c>
      <c r="E4" s="165">
        <f>0.003749*1.0033</f>
        <v>0.0037613717000000006</v>
      </c>
      <c r="F4" s="165">
        <f>0.002083*1.0033</f>
        <v>0.0020898739</v>
      </c>
      <c r="G4" s="165">
        <f>0.011689*1.0033</f>
        <v>0.0117275737</v>
      </c>
    </row>
    <row r="5" spans="1:7" ht="12.75">
      <c r="A5" s="165" t="s">
        <v>136</v>
      </c>
      <c r="B5" s="165">
        <v>6.357768</v>
      </c>
      <c r="C5" s="165">
        <v>3.926223</v>
      </c>
      <c r="D5" s="165">
        <v>-0.433868</v>
      </c>
      <c r="E5" s="165">
        <v>-3.310769</v>
      </c>
      <c r="F5" s="165">
        <v>-7.123755</v>
      </c>
      <c r="G5" s="165">
        <v>1.15852</v>
      </c>
    </row>
    <row r="6" spans="1:7" ht="12.75">
      <c r="A6" s="165" t="s">
        <v>137</v>
      </c>
      <c r="B6" s="166">
        <v>11.27523</v>
      </c>
      <c r="C6" s="166">
        <v>11.28799</v>
      </c>
      <c r="D6" s="166">
        <v>2.975507</v>
      </c>
      <c r="E6" s="166">
        <v>-30.16043</v>
      </c>
      <c r="F6" s="166">
        <v>16.37119</v>
      </c>
      <c r="G6" s="166">
        <v>-0.004192489</v>
      </c>
    </row>
    <row r="7" spans="1:7" ht="12.75">
      <c r="A7" s="165" t="s">
        <v>138</v>
      </c>
      <c r="B7" s="166">
        <v>10000</v>
      </c>
      <c r="C7" s="166">
        <v>10000</v>
      </c>
      <c r="D7" s="166">
        <v>10000</v>
      </c>
      <c r="E7" s="166">
        <v>10000</v>
      </c>
      <c r="F7" s="166">
        <v>10000</v>
      </c>
      <c r="G7" s="166">
        <v>10000</v>
      </c>
    </row>
    <row r="8" spans="1:7" ht="12.75">
      <c r="A8" s="165" t="s">
        <v>91</v>
      </c>
      <c r="B8" s="166">
        <v>0.6548237</v>
      </c>
      <c r="C8" s="166">
        <v>1.716174</v>
      </c>
      <c r="D8" s="166">
        <v>2.330097</v>
      </c>
      <c r="E8" s="166">
        <v>2.774219</v>
      </c>
      <c r="F8" s="166">
        <v>-0.04162575</v>
      </c>
      <c r="G8" s="166">
        <v>1.730189</v>
      </c>
    </row>
    <row r="9" spans="1:7" ht="12.75">
      <c r="A9" s="165" t="s">
        <v>93</v>
      </c>
      <c r="B9" s="166">
        <v>0.323293</v>
      </c>
      <c r="C9" s="166">
        <v>0.7304887</v>
      </c>
      <c r="D9" s="166">
        <v>0.1795915</v>
      </c>
      <c r="E9" s="166">
        <v>-0.4775302</v>
      </c>
      <c r="F9" s="166">
        <v>-0.9726297</v>
      </c>
      <c r="G9" s="166">
        <v>0.02094065</v>
      </c>
    </row>
    <row r="10" spans="1:7" ht="12.75">
      <c r="A10" s="165" t="s">
        <v>95</v>
      </c>
      <c r="B10" s="166">
        <v>-0.2052342</v>
      </c>
      <c r="C10" s="166">
        <v>-0.4787722</v>
      </c>
      <c r="D10" s="166">
        <v>-1.141238</v>
      </c>
      <c r="E10" s="166">
        <v>-1.026004</v>
      </c>
      <c r="F10" s="166">
        <v>-0.3234977</v>
      </c>
      <c r="G10" s="166">
        <v>-0.7095007</v>
      </c>
    </row>
    <row r="11" spans="1:7" ht="12.75">
      <c r="A11" s="165" t="s">
        <v>97</v>
      </c>
      <c r="B11" s="166">
        <v>5.005693</v>
      </c>
      <c r="C11" s="166">
        <v>4.315749</v>
      </c>
      <c r="D11" s="166">
        <v>4.324156</v>
      </c>
      <c r="E11" s="166">
        <v>5.10333</v>
      </c>
      <c r="F11" s="166">
        <v>15.55436</v>
      </c>
      <c r="G11" s="166">
        <v>6.108901</v>
      </c>
    </row>
    <row r="12" spans="1:7" ht="12.75">
      <c r="A12" s="165" t="s">
        <v>99</v>
      </c>
      <c r="B12" s="166">
        <v>0.2264636</v>
      </c>
      <c r="C12" s="166">
        <v>0.246719</v>
      </c>
      <c r="D12" s="166">
        <v>-0.1080827</v>
      </c>
      <c r="E12" s="166">
        <v>-0.06765044</v>
      </c>
      <c r="F12" s="166">
        <v>-0.18324</v>
      </c>
      <c r="G12" s="166">
        <v>0.02533566</v>
      </c>
    </row>
    <row r="13" spans="1:7" ht="12.75">
      <c r="A13" s="165" t="s">
        <v>101</v>
      </c>
      <c r="B13" s="166">
        <v>-0.04950854</v>
      </c>
      <c r="C13" s="166">
        <v>0.1464578</v>
      </c>
      <c r="D13" s="166">
        <v>-0.1392798</v>
      </c>
      <c r="E13" s="166">
        <v>-0.1967354</v>
      </c>
      <c r="F13" s="166">
        <v>-0.2211505</v>
      </c>
      <c r="G13" s="166">
        <v>-0.08228797</v>
      </c>
    </row>
    <row r="14" spans="1:7" ht="12.75">
      <c r="A14" s="165" t="s">
        <v>103</v>
      </c>
      <c r="B14" s="166">
        <v>-0.01248363</v>
      </c>
      <c r="C14" s="166">
        <v>-0.06501151</v>
      </c>
      <c r="D14" s="166">
        <v>-0.1410086</v>
      </c>
      <c r="E14" s="166">
        <v>-0.1096998</v>
      </c>
      <c r="F14" s="166">
        <v>0.006585349</v>
      </c>
      <c r="G14" s="166">
        <v>-0.07687878</v>
      </c>
    </row>
    <row r="15" spans="1:7" ht="12.75">
      <c r="A15" s="165" t="s">
        <v>105</v>
      </c>
      <c r="B15" s="166">
        <v>-0.3574712</v>
      </c>
      <c r="C15" s="166">
        <v>-0.1676771</v>
      </c>
      <c r="D15" s="166">
        <v>-0.1132178</v>
      </c>
      <c r="E15" s="166">
        <v>-0.08049418</v>
      </c>
      <c r="F15" s="166">
        <v>-0.3536473</v>
      </c>
      <c r="G15" s="166">
        <v>-0.1858746</v>
      </c>
    </row>
    <row r="16" spans="1:7" ht="12.75">
      <c r="A16" s="165" t="s">
        <v>107</v>
      </c>
      <c r="B16" s="166">
        <v>0.00335358</v>
      </c>
      <c r="C16" s="166">
        <v>0.01315413</v>
      </c>
      <c r="D16" s="166">
        <v>-0.007581719</v>
      </c>
      <c r="E16" s="166">
        <v>0.002214087</v>
      </c>
      <c r="F16" s="166">
        <v>0.004192265</v>
      </c>
      <c r="G16" s="166">
        <v>0.002918986</v>
      </c>
    </row>
    <row r="17" spans="1:7" ht="12.75">
      <c r="A17" s="165" t="s">
        <v>109</v>
      </c>
      <c r="B17" s="166">
        <v>0.002914202</v>
      </c>
      <c r="C17" s="166">
        <v>0.0003428224</v>
      </c>
      <c r="D17" s="166">
        <v>0.003944006</v>
      </c>
      <c r="E17" s="166">
        <v>0.003465227</v>
      </c>
      <c r="F17" s="166">
        <v>-0.006356583</v>
      </c>
      <c r="G17" s="166">
        <v>0.001442062</v>
      </c>
    </row>
    <row r="18" spans="1:7" ht="12.75">
      <c r="A18" s="165" t="s">
        <v>111</v>
      </c>
      <c r="B18" s="166">
        <v>0.01517502</v>
      </c>
      <c r="C18" s="166">
        <v>0.01763517</v>
      </c>
      <c r="D18" s="166">
        <v>0.02429725</v>
      </c>
      <c r="E18" s="166">
        <v>0.03812812</v>
      </c>
      <c r="F18" s="166">
        <v>-0.004892174</v>
      </c>
      <c r="G18" s="166">
        <v>0.02080618</v>
      </c>
    </row>
    <row r="19" spans="1:7" ht="12.75">
      <c r="A19" s="165" t="s">
        <v>113</v>
      </c>
      <c r="B19" s="166">
        <v>-0.1902245</v>
      </c>
      <c r="C19" s="166">
        <v>-0.1569728</v>
      </c>
      <c r="D19" s="166">
        <v>-0.165372</v>
      </c>
      <c r="E19" s="166">
        <v>-0.1712106</v>
      </c>
      <c r="F19" s="166">
        <v>-0.1308242</v>
      </c>
      <c r="G19" s="166">
        <v>-0.1637287</v>
      </c>
    </row>
    <row r="20" spans="1:7" ht="12.75">
      <c r="A20" s="165" t="s">
        <v>115</v>
      </c>
      <c r="B20" s="166">
        <v>-0.00503508</v>
      </c>
      <c r="C20" s="166">
        <v>0.004039356</v>
      </c>
      <c r="D20" s="166">
        <v>0.006201706</v>
      </c>
      <c r="E20" s="166">
        <v>0.006731026</v>
      </c>
      <c r="F20" s="166">
        <v>0.004498688</v>
      </c>
      <c r="G20" s="166">
        <v>0.003957182</v>
      </c>
    </row>
    <row r="21" spans="1:7" ht="12.75">
      <c r="A21" s="165" t="s">
        <v>139</v>
      </c>
      <c r="B21" s="166">
        <v>-169.3001</v>
      </c>
      <c r="C21" s="166">
        <v>105.9323</v>
      </c>
      <c r="D21" s="166">
        <v>133.7326</v>
      </c>
      <c r="E21" s="166">
        <v>-35.35952</v>
      </c>
      <c r="F21" s="166">
        <v>-184.8361</v>
      </c>
      <c r="G21" s="166">
        <v>-8.100763E-05</v>
      </c>
    </row>
    <row r="22" spans="1:7" ht="12.75">
      <c r="A22" s="165" t="s">
        <v>140</v>
      </c>
      <c r="B22" s="166">
        <v>127.1622</v>
      </c>
      <c r="C22" s="166">
        <v>78.52607</v>
      </c>
      <c r="D22" s="166">
        <v>-8.677372</v>
      </c>
      <c r="E22" s="166">
        <v>-66.21635</v>
      </c>
      <c r="F22" s="166">
        <v>-142.4847</v>
      </c>
      <c r="G22" s="166">
        <v>0</v>
      </c>
    </row>
    <row r="23" spans="1:7" ht="12.75">
      <c r="A23" s="165" t="s">
        <v>92</v>
      </c>
      <c r="B23" s="166">
        <v>4.183801</v>
      </c>
      <c r="C23" s="166">
        <v>1.559127</v>
      </c>
      <c r="D23" s="166">
        <v>3.201861</v>
      </c>
      <c r="E23" s="166">
        <v>2.092938</v>
      </c>
      <c r="F23" s="166">
        <v>6.28929</v>
      </c>
      <c r="G23" s="166">
        <v>3.094343</v>
      </c>
    </row>
    <row r="24" spans="1:7" ht="12.75">
      <c r="A24" s="165" t="s">
        <v>94</v>
      </c>
      <c r="B24" s="166">
        <v>0.03342286</v>
      </c>
      <c r="C24" s="166">
        <v>0.7061903</v>
      </c>
      <c r="D24" s="166">
        <v>0.8010248</v>
      </c>
      <c r="E24" s="166">
        <v>1.833653</v>
      </c>
      <c r="F24" s="166">
        <v>3.294898</v>
      </c>
      <c r="G24" s="166">
        <v>1.248914</v>
      </c>
    </row>
    <row r="25" spans="1:7" ht="12.75">
      <c r="A25" s="165" t="s">
        <v>96</v>
      </c>
      <c r="B25" s="166">
        <v>0.4974223</v>
      </c>
      <c r="C25" s="166">
        <v>1.268981</v>
      </c>
      <c r="D25" s="166">
        <v>1.910939</v>
      </c>
      <c r="E25" s="166">
        <v>1.04146</v>
      </c>
      <c r="F25" s="166">
        <v>-2.293089</v>
      </c>
      <c r="G25" s="166">
        <v>0.7812354</v>
      </c>
    </row>
    <row r="26" spans="1:7" ht="12.75">
      <c r="A26" s="165" t="s">
        <v>98</v>
      </c>
      <c r="B26" s="166">
        <v>-0.04899489</v>
      </c>
      <c r="C26" s="166">
        <v>0.4996791</v>
      </c>
      <c r="D26" s="166">
        <v>-0.08970448</v>
      </c>
      <c r="E26" s="166">
        <v>-0.1821182</v>
      </c>
      <c r="F26" s="166">
        <v>0.8540959</v>
      </c>
      <c r="G26" s="166">
        <v>0.1615075</v>
      </c>
    </row>
    <row r="27" spans="1:7" ht="12.75">
      <c r="A27" s="165" t="s">
        <v>100</v>
      </c>
      <c r="B27" s="166">
        <v>0.4722525</v>
      </c>
      <c r="C27" s="166">
        <v>-0.0528081</v>
      </c>
      <c r="D27" s="166">
        <v>-0.1748489</v>
      </c>
      <c r="E27" s="166">
        <v>0.060077</v>
      </c>
      <c r="F27" s="166">
        <v>0.7045332</v>
      </c>
      <c r="G27" s="166">
        <v>0.1220721</v>
      </c>
    </row>
    <row r="28" spans="1:7" ht="12.75">
      <c r="A28" s="165" t="s">
        <v>102</v>
      </c>
      <c r="B28" s="166">
        <v>-0.2097999</v>
      </c>
      <c r="C28" s="166">
        <v>0.3874211</v>
      </c>
      <c r="D28" s="166">
        <v>0.2133383</v>
      </c>
      <c r="E28" s="166">
        <v>0.2426851</v>
      </c>
      <c r="F28" s="166">
        <v>0.5080211</v>
      </c>
      <c r="G28" s="166">
        <v>0.2405171</v>
      </c>
    </row>
    <row r="29" spans="1:7" ht="12.75">
      <c r="A29" s="165" t="s">
        <v>104</v>
      </c>
      <c r="B29" s="166">
        <v>0.1768394</v>
      </c>
      <c r="C29" s="166">
        <v>0.05207288</v>
      </c>
      <c r="D29" s="166">
        <v>0.1673519</v>
      </c>
      <c r="E29" s="166">
        <v>0.1159681</v>
      </c>
      <c r="F29" s="166">
        <v>0.05511399</v>
      </c>
      <c r="G29" s="166">
        <v>0.1136329</v>
      </c>
    </row>
    <row r="30" spans="1:7" ht="12.75">
      <c r="A30" s="165" t="s">
        <v>141</v>
      </c>
      <c r="B30" s="166">
        <v>-0.0437273</v>
      </c>
      <c r="C30" s="166">
        <v>0.167842</v>
      </c>
      <c r="D30" s="166">
        <v>0.1336618</v>
      </c>
      <c r="E30" s="166">
        <v>0.03320449</v>
      </c>
      <c r="F30" s="166">
        <v>0.2768178</v>
      </c>
      <c r="G30" s="166">
        <v>0.111238</v>
      </c>
    </row>
    <row r="31" spans="1:7" ht="12.75">
      <c r="A31" s="165" t="s">
        <v>108</v>
      </c>
      <c r="B31" s="166">
        <v>0.02660597</v>
      </c>
      <c r="C31" s="166">
        <v>-0.007044772</v>
      </c>
      <c r="D31" s="166">
        <v>-0.00688912</v>
      </c>
      <c r="E31" s="166">
        <v>0.006519129</v>
      </c>
      <c r="F31" s="166">
        <v>0.04562366</v>
      </c>
      <c r="G31" s="166">
        <v>0.008157214</v>
      </c>
    </row>
    <row r="32" spans="1:7" ht="12.75">
      <c r="A32" s="165" t="s">
        <v>110</v>
      </c>
      <c r="B32" s="166">
        <v>-0.02293434</v>
      </c>
      <c r="C32" s="166">
        <v>0.07297929</v>
      </c>
      <c r="D32" s="166">
        <v>0.04294395</v>
      </c>
      <c r="E32" s="166">
        <v>0.03324399</v>
      </c>
      <c r="F32" s="166">
        <v>0.05386259</v>
      </c>
      <c r="G32" s="166">
        <v>0.03977555</v>
      </c>
    </row>
    <row r="33" spans="1:7" ht="12.75">
      <c r="A33" s="165" t="s">
        <v>112</v>
      </c>
      <c r="B33" s="166">
        <v>0.09605602</v>
      </c>
      <c r="C33" s="166">
        <v>0.01081996</v>
      </c>
      <c r="D33" s="166">
        <v>-0.0049794</v>
      </c>
      <c r="E33" s="166">
        <v>0.04224457</v>
      </c>
      <c r="F33" s="166">
        <v>0.06906918</v>
      </c>
      <c r="G33" s="166">
        <v>0.03467689</v>
      </c>
    </row>
    <row r="34" spans="1:7" ht="12.75">
      <c r="A34" s="165" t="s">
        <v>114</v>
      </c>
      <c r="B34" s="166">
        <v>-0.008139898</v>
      </c>
      <c r="C34" s="166">
        <v>0.01438338</v>
      </c>
      <c r="D34" s="166">
        <v>0.01653078</v>
      </c>
      <c r="E34" s="166">
        <v>0.01691844</v>
      </c>
      <c r="F34" s="166">
        <v>-0.005542633</v>
      </c>
      <c r="G34" s="166">
        <v>0.00961654</v>
      </c>
    </row>
    <row r="35" spans="1:7" ht="12.75">
      <c r="A35" s="165" t="s">
        <v>116</v>
      </c>
      <c r="B35" s="166">
        <v>-0.005343076</v>
      </c>
      <c r="C35" s="166">
        <v>0.00228001</v>
      </c>
      <c r="D35" s="166">
        <v>0.004121066</v>
      </c>
      <c r="E35" s="166">
        <v>0.0003965438</v>
      </c>
      <c r="F35" s="166">
        <v>0.002435839</v>
      </c>
      <c r="G35" s="166">
        <v>0.001188477</v>
      </c>
    </row>
    <row r="36" spans="1:6" ht="12.75">
      <c r="A36" s="165" t="s">
        <v>142</v>
      </c>
      <c r="B36" s="166">
        <v>19.91272</v>
      </c>
      <c r="C36" s="166">
        <v>19.92493</v>
      </c>
      <c r="D36" s="166">
        <v>19.94324</v>
      </c>
      <c r="E36" s="166">
        <v>19.9585</v>
      </c>
      <c r="F36" s="166">
        <v>19.97681</v>
      </c>
    </row>
    <row r="37" spans="1:6" ht="12.75">
      <c r="A37" s="165" t="s">
        <v>143</v>
      </c>
      <c r="B37" s="166">
        <v>-0.3550212</v>
      </c>
      <c r="C37" s="166">
        <v>-0.3453573</v>
      </c>
      <c r="D37" s="166">
        <v>-0.3407796</v>
      </c>
      <c r="E37" s="166">
        <v>-0.3351847</v>
      </c>
      <c r="F37" s="166">
        <v>-0.3316244</v>
      </c>
    </row>
    <row r="38" spans="1:7" ht="12.75">
      <c r="A38" s="165" t="s">
        <v>144</v>
      </c>
      <c r="B38" s="166">
        <v>-1.550552E-05</v>
      </c>
      <c r="C38" s="166">
        <v>-2.060244E-05</v>
      </c>
      <c r="D38" s="166">
        <v>0</v>
      </c>
      <c r="E38" s="166">
        <v>5.087247E-05</v>
      </c>
      <c r="F38" s="166">
        <v>-3.230164E-05</v>
      </c>
      <c r="G38" s="166">
        <v>0.0002768939</v>
      </c>
    </row>
    <row r="39" spans="1:7" ht="12.75">
      <c r="A39" s="165" t="s">
        <v>145</v>
      </c>
      <c r="B39" s="166">
        <v>0.0002880074</v>
      </c>
      <c r="C39" s="166">
        <v>-0.0001799231</v>
      </c>
      <c r="D39" s="166">
        <v>-0.0002273496</v>
      </c>
      <c r="E39" s="166">
        <v>6.044804E-05</v>
      </c>
      <c r="F39" s="166">
        <v>0.0003137612</v>
      </c>
      <c r="G39" s="166">
        <v>0.0004859149</v>
      </c>
    </row>
    <row r="40" spans="2:5" ht="12.75">
      <c r="B40" s="165" t="s">
        <v>146</v>
      </c>
      <c r="C40" s="165">
        <v>-0.00375</v>
      </c>
      <c r="D40" s="165" t="s">
        <v>147</v>
      </c>
      <c r="E40" s="165">
        <v>3.116784</v>
      </c>
    </row>
    <row r="42" ht="12.75">
      <c r="A42" s="165" t="s">
        <v>148</v>
      </c>
    </row>
    <row r="50" spans="1:7" ht="12.75">
      <c r="A50" s="165" t="s">
        <v>149</v>
      </c>
      <c r="B50" s="165">
        <f>-0.017/(B7*B7+B22*B22)*(B21*B22+B6*B7)</f>
        <v>-1.5505526281538563E-05</v>
      </c>
      <c r="C50" s="165">
        <f>-0.017/(C7*C7+C22*C22)*(C21*C22+C6*C7)</f>
        <v>-2.0602448607074902E-05</v>
      </c>
      <c r="D50" s="165">
        <f>-0.017/(D7*D7+D22*D22)*(D21*D22+D6*D7)</f>
        <v>-4.861082161577801E-06</v>
      </c>
      <c r="E50" s="165">
        <f>-0.017/(E7*E7+E22*E22)*(E21*E22+E6*E7)</f>
        <v>5.087246612343717E-05</v>
      </c>
      <c r="F50" s="165">
        <f>-0.017/(F7*F7+F22*F22)*(F21*F22+F6*F7)</f>
        <v>-3.230163892068792E-05</v>
      </c>
      <c r="G50" s="165">
        <f>(B50*B$4+C50*C$4+D50*D$4+E50*E$4+F50*F$4)/SUM(B$4:F$4)</f>
        <v>-4.498038750593223E-07</v>
      </c>
    </row>
    <row r="51" spans="1:7" ht="12.75">
      <c r="A51" s="165" t="s">
        <v>150</v>
      </c>
      <c r="B51" s="165">
        <f>-0.017/(B7*B7+B22*B22)*(B21*B7-B6*B22)</f>
        <v>0.00028800734168341177</v>
      </c>
      <c r="C51" s="165">
        <f>-0.017/(C7*C7+C22*C22)*(C21*C7-C6*C22)</f>
        <v>-0.00017992312706785097</v>
      </c>
      <c r="D51" s="165">
        <f>-0.017/(D7*D7+D22*D22)*(D21*D7-D6*D22)</f>
        <v>-0.00022734963814182384</v>
      </c>
      <c r="E51" s="165">
        <f>-0.017/(E7*E7+E22*E22)*(E21*E7-E6*E22)</f>
        <v>6.0448042902219274E-05</v>
      </c>
      <c r="F51" s="165">
        <f>-0.017/(F7*F7+F22*F22)*(F21*F7-F6*F22)</f>
        <v>0.00031376112106688776</v>
      </c>
      <c r="G51" s="165">
        <f>(B51*B$4+C51*C$4+D51*D$4+E51*E$4+F51*F$4)/SUM(B$4:F$4)</f>
        <v>8.882572233165917E-08</v>
      </c>
    </row>
    <row r="58" ht="12.75">
      <c r="A58" s="165" t="s">
        <v>152</v>
      </c>
    </row>
    <row r="60" spans="2:6" ht="12.75">
      <c r="B60" s="165" t="s">
        <v>84</v>
      </c>
      <c r="C60" s="165" t="s">
        <v>85</v>
      </c>
      <c r="D60" s="165" t="s">
        <v>86</v>
      </c>
      <c r="E60" s="165" t="s">
        <v>87</v>
      </c>
      <c r="F60" s="165" t="s">
        <v>88</v>
      </c>
    </row>
    <row r="61" spans="1:6" ht="12.75">
      <c r="A61" s="165" t="s">
        <v>154</v>
      </c>
      <c r="B61" s="165">
        <f>B6+(1/0.017)*(B7*B50-B22*B51)</f>
        <v>0</v>
      </c>
      <c r="C61" s="165">
        <f>C6+(1/0.017)*(C7*C50-C22*C51)</f>
        <v>0</v>
      </c>
      <c r="D61" s="165">
        <f>D6+(1/0.017)*(D7*D50-D22*D51)</f>
        <v>0</v>
      </c>
      <c r="E61" s="165">
        <f>E6+(1/0.017)*(E7*E50-E22*E51)</f>
        <v>0</v>
      </c>
      <c r="F61" s="165">
        <f>F6+(1/0.017)*(F7*F50-F22*F51)</f>
        <v>0</v>
      </c>
    </row>
    <row r="62" spans="1:6" ht="12.75">
      <c r="A62" s="165" t="s">
        <v>157</v>
      </c>
      <c r="B62" s="165">
        <f>B7+(2/0.017)*(B8*B50-B23*B51)</f>
        <v>9999.857044848208</v>
      </c>
      <c r="C62" s="165">
        <f>C7+(2/0.017)*(C8*C50-C23*C51)</f>
        <v>10000.028843013964</v>
      </c>
      <c r="D62" s="165">
        <f>D7+(2/0.017)*(D8*D50-D23*D51)</f>
        <v>10000.084307664325</v>
      </c>
      <c r="E62" s="165">
        <f>E7+(2/0.017)*(E8*E50-E23*E51)</f>
        <v>10000.001719688951</v>
      </c>
      <c r="F62" s="165">
        <f>F7+(2/0.017)*(F8*F50-F23*F51)</f>
        <v>9999.768001164568</v>
      </c>
    </row>
    <row r="63" spans="1:6" ht="12.75">
      <c r="A63" s="165" t="s">
        <v>158</v>
      </c>
      <c r="B63" s="165">
        <f>B8+(3/0.017)*(B9*B50-B24*B51)</f>
        <v>0.6522403722644363</v>
      </c>
      <c r="C63" s="165">
        <f>C8+(3/0.017)*(C9*C50-C24*C51)</f>
        <v>1.7359404902084445</v>
      </c>
      <c r="D63" s="165">
        <f>D8+(3/0.017)*(D9*D50-D24*D51)</f>
        <v>2.3620804745974597</v>
      </c>
      <c r="E63" s="165">
        <f>E8+(3/0.017)*(E9*E50-E24*E51)</f>
        <v>2.7503718457410233</v>
      </c>
      <c r="F63" s="165">
        <f>F8+(3/0.017)*(F9*F50-F24*F51)</f>
        <v>-0.2185186953367252</v>
      </c>
    </row>
    <row r="64" spans="1:6" ht="12.75">
      <c r="A64" s="165" t="s">
        <v>159</v>
      </c>
      <c r="B64" s="165">
        <f>B9+(4/0.017)*(B10*B50-B25*B51)</f>
        <v>0.2903332329329228</v>
      </c>
      <c r="C64" s="165">
        <f>C9+(4/0.017)*(C10*C50-C25*C51)</f>
        <v>0.7865317374952199</v>
      </c>
      <c r="D64" s="165">
        <f>D9+(4/0.017)*(D10*D50-D25*D51)</f>
        <v>0.28312066278706194</v>
      </c>
      <c r="E64" s="165">
        <f>E9+(4/0.017)*(E10*E50-E25*E51)</f>
        <v>-0.5046242170572839</v>
      </c>
      <c r="F64" s="165">
        <f>F9+(4/0.017)*(F10*F50-F25*F51)</f>
        <v>-0.8008810691192421</v>
      </c>
    </row>
    <row r="65" spans="1:6" ht="12.75">
      <c r="A65" s="165" t="s">
        <v>160</v>
      </c>
      <c r="B65" s="165">
        <f>B10+(5/0.017)*(B11*B50-B26*B51)</f>
        <v>-0.22391214598348308</v>
      </c>
      <c r="C65" s="165">
        <f>C10+(5/0.017)*(C11*C50-C26*C51)</f>
        <v>-0.47848136787384865</v>
      </c>
      <c r="D65" s="165">
        <f>D10+(5/0.017)*(D11*D50-D26*D51)</f>
        <v>-1.1534186937244648</v>
      </c>
      <c r="E65" s="165">
        <f>E10+(5/0.017)*(E11*E50-E26*E51)</f>
        <v>-0.946407626085707</v>
      </c>
      <c r="F65" s="165">
        <f>F10+(5/0.017)*(F11*F50-F26*F51)</f>
        <v>-0.5500898786603011</v>
      </c>
    </row>
    <row r="66" spans="1:6" ht="12.75">
      <c r="A66" s="165" t="s">
        <v>161</v>
      </c>
      <c r="B66" s="165">
        <f>B11+(6/0.017)*(B12*B50-B27*B51)</f>
        <v>4.956449367848251</v>
      </c>
      <c r="C66" s="165">
        <f>C11+(6/0.017)*(C12*C50-C27*C51)</f>
        <v>4.310601559763153</v>
      </c>
      <c r="D66" s="165">
        <f>D11+(6/0.017)*(D12*D50-D27*D51)</f>
        <v>4.310311375790747</v>
      </c>
      <c r="E66" s="165">
        <f>E11+(6/0.017)*(E12*E50-E27*E51)</f>
        <v>5.100833618191563</v>
      </c>
      <c r="F66" s="165">
        <f>F11+(6/0.017)*(F12*F50-F27*F51)</f>
        <v>15.478429585525289</v>
      </c>
    </row>
    <row r="67" spans="1:6" ht="12.75">
      <c r="A67" s="165" t="s">
        <v>162</v>
      </c>
      <c r="B67" s="165">
        <f>B12+(7/0.017)*(B13*B50-B28*B51)</f>
        <v>0.2516601277745902</v>
      </c>
      <c r="C67" s="165">
        <f>C12+(7/0.017)*(C13*C50-C28*C51)</f>
        <v>0.27417902267913113</v>
      </c>
      <c r="D67" s="165">
        <f>D12+(7/0.017)*(D13*D50-D28*D51)</f>
        <v>-0.08783234405845412</v>
      </c>
      <c r="E67" s="165">
        <f>E12+(7/0.017)*(E13*E50-E28*E51)</f>
        <v>-0.07781207412695128</v>
      </c>
      <c r="F67" s="165">
        <f>F12+(7/0.017)*(F13*F50-F28*F51)</f>
        <v>-0.24593271904967806</v>
      </c>
    </row>
    <row r="68" spans="1:6" ht="12.75">
      <c r="A68" s="165" t="s">
        <v>163</v>
      </c>
      <c r="B68" s="165">
        <f>B13+(8/0.017)*(B14*B50-B29*B51)</f>
        <v>-0.07338500129215789</v>
      </c>
      <c r="C68" s="165">
        <f>C13+(8/0.017)*(C14*C50-C29*C51)</f>
        <v>0.1514970996229046</v>
      </c>
      <c r="D68" s="165">
        <f>D13+(8/0.017)*(D14*D50-D29*D51)</f>
        <v>-0.12105257727179496</v>
      </c>
      <c r="E68" s="165">
        <f>E13+(8/0.017)*(E14*E50-E29*E51)</f>
        <v>-0.20266045602039373</v>
      </c>
      <c r="F68" s="165">
        <f>F13+(8/0.017)*(F14*F50-F29*F51)</f>
        <v>-0.22938830934326304</v>
      </c>
    </row>
    <row r="69" spans="1:6" ht="12.75">
      <c r="A69" s="165" t="s">
        <v>164</v>
      </c>
      <c r="B69" s="165">
        <f>B14+(9/0.017)*(B15*B50-B30*B51)</f>
        <v>-0.002881920431389672</v>
      </c>
      <c r="C69" s="165">
        <f>C14+(9/0.017)*(C15*C50-C30*C51)</f>
        <v>-0.04719510135541762</v>
      </c>
      <c r="D69" s="165">
        <f>D14+(9/0.017)*(D15*D50-D30*D51)</f>
        <v>-0.1246294878810564</v>
      </c>
      <c r="E69" s="165">
        <f>E14+(9/0.017)*(E15*E50-E30*E51)</f>
        <v>-0.11293031499595597</v>
      </c>
      <c r="F69" s="165">
        <f>F14+(9/0.017)*(F15*F50-F30*F51)</f>
        <v>-0.033348855872031756</v>
      </c>
    </row>
    <row r="70" spans="1:6" ht="12.75">
      <c r="A70" s="165" t="s">
        <v>165</v>
      </c>
      <c r="B70" s="165">
        <f>B15+(10/0.017)*(B16*B50-B31*B51)</f>
        <v>-0.3620092668914328</v>
      </c>
      <c r="C70" s="165">
        <f>C15+(10/0.017)*(C16*C50-C31*C51)</f>
        <v>-0.1685821145264799</v>
      </c>
      <c r="D70" s="165">
        <f>D15+(10/0.017)*(D16*D50-D31*D51)</f>
        <v>-0.11411743740007682</v>
      </c>
      <c r="E70" s="165">
        <f>E15+(10/0.017)*(E16*E50-E31*E51)</f>
        <v>-0.08065972854327956</v>
      </c>
      <c r="F70" s="165">
        <f>F15+(10/0.017)*(F16*F50-F31*F51)</f>
        <v>-0.3621475045523908</v>
      </c>
    </row>
    <row r="71" spans="1:6" ht="12.75">
      <c r="A71" s="165" t="s">
        <v>166</v>
      </c>
      <c r="B71" s="165">
        <f>B16+(11/0.017)*(B17*B50-B32*B51)</f>
        <v>0.007598332510034769</v>
      </c>
      <c r="C71" s="165">
        <f>C16+(11/0.017)*(C17*C50-C32*C51)</f>
        <v>0.02164587058577977</v>
      </c>
      <c r="D71" s="165">
        <f>D16+(11/0.017)*(D17*D50-D32*D51)</f>
        <v>-0.001276700593390764</v>
      </c>
      <c r="E71" s="165">
        <f>E16+(11/0.017)*(E17*E50-E32*E51)</f>
        <v>0.0010278667413807225</v>
      </c>
      <c r="F71" s="165">
        <f>F16+(11/0.017)*(F17*F50-F32*F51)</f>
        <v>-0.0066101611355551945</v>
      </c>
    </row>
    <row r="72" spans="1:6" ht="12.75">
      <c r="A72" s="165" t="s">
        <v>167</v>
      </c>
      <c r="B72" s="165">
        <f>B17+(12/0.017)*(B18*B50-B33*B51)</f>
        <v>-0.016780011395991654</v>
      </c>
      <c r="C72" s="165">
        <f>C17+(12/0.017)*(C18*C50-C33*C51)</f>
        <v>0.0014605400618920251</v>
      </c>
      <c r="D72" s="165">
        <f>D17+(12/0.017)*(D18*D50-D33*D51)</f>
        <v>0.0030615290234961455</v>
      </c>
      <c r="E72" s="165">
        <f>E17+(12/0.017)*(E18*E50-E33*E51)</f>
        <v>0.0030318645858620295</v>
      </c>
      <c r="F72" s="165">
        <f>F17+(12/0.017)*(F18*F50-F33*F51)</f>
        <v>-0.021542369901095634</v>
      </c>
    </row>
    <row r="73" spans="1:6" ht="12.75">
      <c r="A73" s="165" t="s">
        <v>168</v>
      </c>
      <c r="B73" s="165">
        <f>B18+(13/0.017)*(B19*B50-B34*B51)</f>
        <v>0.019223282223120967</v>
      </c>
      <c r="C73" s="165">
        <f>C18+(13/0.017)*(C19*C50-C34*C51)</f>
        <v>0.0220872316339694</v>
      </c>
      <c r="D73" s="165">
        <f>D18+(13/0.017)*(D19*D50-D34*D51)</f>
        <v>0.02778595579385559</v>
      </c>
      <c r="E73" s="165">
        <f>E18+(13/0.017)*(E19*E50-E34*E51)</f>
        <v>0.030685549619963788</v>
      </c>
      <c r="F73" s="165">
        <f>F18+(13/0.017)*(F19*F50-F34*F51)</f>
        <v>-0.0003307807891180922</v>
      </c>
    </row>
    <row r="74" spans="1:6" ht="12.75">
      <c r="A74" s="165" t="s">
        <v>169</v>
      </c>
      <c r="B74" s="165">
        <f>B19+(14/0.017)*(B20*B50-B35*B51)</f>
        <v>-0.188892921557283</v>
      </c>
      <c r="C74" s="165">
        <f>C19+(14/0.017)*(C20*C50-C35*C51)</f>
        <v>-0.15670350101978212</v>
      </c>
      <c r="D74" s="165">
        <f>D19+(14/0.017)*(D20*D50-D35*D51)</f>
        <v>-0.16462524340821713</v>
      </c>
      <c r="E74" s="165">
        <f>E19+(14/0.017)*(E20*E50-E35*E51)</f>
        <v>-0.17094834409780213</v>
      </c>
      <c r="F74" s="165">
        <f>F19+(14/0.017)*(F20*F50-F35*F51)</f>
        <v>-0.13157327129357635</v>
      </c>
    </row>
    <row r="75" spans="1:6" ht="12.75">
      <c r="A75" s="165" t="s">
        <v>170</v>
      </c>
      <c r="B75" s="166">
        <f>B20</f>
        <v>-0.00503508</v>
      </c>
      <c r="C75" s="166">
        <f>C20</f>
        <v>0.004039356</v>
      </c>
      <c r="D75" s="166">
        <f>D20</f>
        <v>0.006201706</v>
      </c>
      <c r="E75" s="166">
        <f>E20</f>
        <v>0.006731026</v>
      </c>
      <c r="F75" s="166">
        <f>F20</f>
        <v>0.004498688</v>
      </c>
    </row>
    <row r="78" ht="12.75">
      <c r="A78" s="165" t="s">
        <v>152</v>
      </c>
    </row>
    <row r="80" spans="2:6" ht="12.75">
      <c r="B80" s="165" t="s">
        <v>84</v>
      </c>
      <c r="C80" s="165" t="s">
        <v>85</v>
      </c>
      <c r="D80" s="165" t="s">
        <v>86</v>
      </c>
      <c r="E80" s="165" t="s">
        <v>87</v>
      </c>
      <c r="F80" s="165" t="s">
        <v>88</v>
      </c>
    </row>
    <row r="81" spans="1:6" ht="12.75">
      <c r="A81" s="165" t="s">
        <v>171</v>
      </c>
      <c r="B81" s="165">
        <f>B21+(1/0.017)*(B7*B51+B22*B50)</f>
        <v>0</v>
      </c>
      <c r="C81" s="165">
        <f>C21+(1/0.017)*(C7*C51+C22*C50)</f>
        <v>0</v>
      </c>
      <c r="D81" s="165">
        <f>D21+(1/0.017)*(D7*D51+D22*D50)</f>
        <v>0</v>
      </c>
      <c r="E81" s="165">
        <f>E21+(1/0.017)*(E7*E51+E22*E50)</f>
        <v>0</v>
      </c>
      <c r="F81" s="165">
        <f>F21+(1/0.017)*(F7*F51+F22*F50)</f>
        <v>0</v>
      </c>
    </row>
    <row r="82" spans="1:6" ht="12.75">
      <c r="A82" s="165" t="s">
        <v>172</v>
      </c>
      <c r="B82" s="165">
        <f>B22+(2/0.017)*(B8*B51+B23*B50)</f>
        <v>127.17675552902895</v>
      </c>
      <c r="C82" s="165">
        <f>C22+(2/0.017)*(C8*C51+C23*C50)</f>
        <v>78.48596397334566</v>
      </c>
      <c r="D82" s="165">
        <f>D22+(2/0.017)*(D8*D51+D23*D50)</f>
        <v>-8.741526261079565</v>
      </c>
      <c r="E82" s="165">
        <f>E22+(2/0.017)*(E8*E51+E23*E50)</f>
        <v>-66.18409482039581</v>
      </c>
      <c r="F82" s="165">
        <f>F22+(2/0.017)*(F8*F51+F23*F50)</f>
        <v>-142.5101370490156</v>
      </c>
    </row>
    <row r="83" spans="1:6" ht="12.75">
      <c r="A83" s="165" t="s">
        <v>173</v>
      </c>
      <c r="B83" s="165">
        <f>B23+(3/0.017)*(B9*B51+B24*B50)</f>
        <v>4.20014085620248</v>
      </c>
      <c r="C83" s="165">
        <f>C23+(3/0.017)*(C9*C51+C24*C50)</f>
        <v>1.5333656363727715</v>
      </c>
      <c r="D83" s="165">
        <f>D23+(3/0.017)*(D9*D51+D24*D50)</f>
        <v>3.1939685453109514</v>
      </c>
      <c r="E83" s="165">
        <f>E23+(3/0.017)*(E9*E51+E24*E50)</f>
        <v>2.1043056501366944</v>
      </c>
      <c r="F83" s="165">
        <f>F23+(3/0.017)*(F9*F51+F24*F50)</f>
        <v>6.216654001670921</v>
      </c>
    </row>
    <row r="84" spans="1:6" ht="12.75">
      <c r="A84" s="165" t="s">
        <v>174</v>
      </c>
      <c r="B84" s="165">
        <f>B24+(4/0.017)*(B10*B51+B25*B50)</f>
        <v>0.017700095079954112</v>
      </c>
      <c r="C84" s="165">
        <f>C24+(4/0.017)*(C10*C51+C25*C50)</f>
        <v>0.7203074942450118</v>
      </c>
      <c r="D84" s="165">
        <f>D24+(4/0.017)*(D10*D51+D25*D50)</f>
        <v>0.859888521140926</v>
      </c>
      <c r="E84" s="165">
        <f>E24+(4/0.017)*(E10*E51+E25*E50)</f>
        <v>1.8315263422962509</v>
      </c>
      <c r="F84" s="165">
        <f>F24+(4/0.017)*(F10*F51+F25*F50)</f>
        <v>3.2884437722062216</v>
      </c>
    </row>
    <row r="85" spans="1:6" ht="12.75">
      <c r="A85" s="165" t="s">
        <v>175</v>
      </c>
      <c r="B85" s="165">
        <f>B25+(5/0.017)*(B11*B51+B26*B50)</f>
        <v>0.9216681899317114</v>
      </c>
      <c r="C85" s="165">
        <f>C25+(5/0.017)*(C11*C51+C26*C50)</f>
        <v>1.0375699209712557</v>
      </c>
      <c r="D85" s="165">
        <f>D25+(5/0.017)*(D11*D51+D26*D50)</f>
        <v>1.621921576170219</v>
      </c>
      <c r="E85" s="165">
        <f>E25+(5/0.017)*(E11*E51+E26*E50)</f>
        <v>1.129466326124771</v>
      </c>
      <c r="F85" s="165">
        <f>F25+(5/0.017)*(F11*F51+F26*F50)</f>
        <v>-0.8658052547904365</v>
      </c>
    </row>
    <row r="86" spans="1:6" ht="12.75">
      <c r="A86" s="165" t="s">
        <v>176</v>
      </c>
      <c r="B86" s="165">
        <f>B26+(6/0.017)*(B12*B51+B27*B50)</f>
        <v>-0.028559364397488286</v>
      </c>
      <c r="C86" s="165">
        <f>C26+(6/0.017)*(C12*C51+C27*C50)</f>
        <v>0.48439587253384736</v>
      </c>
      <c r="D86" s="165">
        <f>D26+(6/0.017)*(D12*D51+D27*D50)</f>
        <v>-0.08073182672829901</v>
      </c>
      <c r="E86" s="165">
        <f>E26+(6/0.017)*(E12*E51+E27*E50)</f>
        <v>-0.1824828134890034</v>
      </c>
      <c r="F86" s="165">
        <f>F26+(6/0.017)*(F12*F51+F27*F50)</f>
        <v>0.8257719594617647</v>
      </c>
    </row>
    <row r="87" spans="1:6" ht="12.75">
      <c r="A87" s="165" t="s">
        <v>177</v>
      </c>
      <c r="B87" s="165">
        <f>B27+(7/0.017)*(B13*B51+B28*B50)</f>
        <v>0.4677207143571183</v>
      </c>
      <c r="C87" s="165">
        <f>C27+(7/0.017)*(C13*C51+C28*C50)</f>
        <v>-0.0669452047429806</v>
      </c>
      <c r="D87" s="165">
        <f>D27+(7/0.017)*(D13*D51+D28*D50)</f>
        <v>-0.16223730588931295</v>
      </c>
      <c r="E87" s="165">
        <f>E27+(7/0.017)*(E13*E51+E28*E50)</f>
        <v>0.06026382572951728</v>
      </c>
      <c r="F87" s="165">
        <f>F27+(7/0.017)*(F13*F51+F28*F50)</f>
        <v>0.669204470553791</v>
      </c>
    </row>
    <row r="88" spans="1:6" ht="12.75">
      <c r="A88" s="165" t="s">
        <v>178</v>
      </c>
      <c r="B88" s="165">
        <f>B28+(8/0.017)*(B14*B51+B29*B50)</f>
        <v>-0.21278218943772745</v>
      </c>
      <c r="C88" s="165">
        <f>C28+(8/0.017)*(C14*C51+C29*C50)</f>
        <v>0.3924207448661555</v>
      </c>
      <c r="D88" s="165">
        <f>D28+(8/0.017)*(D14*D51+D29*D50)</f>
        <v>0.22804170839957133</v>
      </c>
      <c r="E88" s="165">
        <f>E28+(8/0.017)*(E14*E51+E29*E50)</f>
        <v>0.24234083883382798</v>
      </c>
      <c r="F88" s="165">
        <f>F28+(8/0.017)*(F14*F51+F29*F50)</f>
        <v>0.5081556667201874</v>
      </c>
    </row>
    <row r="89" spans="1:6" ht="12.75">
      <c r="A89" s="165" t="s">
        <v>179</v>
      </c>
      <c r="B89" s="165">
        <f>B29+(9/0.017)*(B15*B51+B30*B50)</f>
        <v>0.12269311546064257</v>
      </c>
      <c r="C89" s="165">
        <f>C29+(9/0.017)*(C15*C51+C30*C50)</f>
        <v>0.0662140145832377</v>
      </c>
      <c r="D89" s="165">
        <f>D29+(9/0.017)*(D15*D51+D30*D50)</f>
        <v>0.18063499198976124</v>
      </c>
      <c r="E89" s="165">
        <f>E29+(9/0.017)*(E15*E51+E30*E50)</f>
        <v>0.11428641222469815</v>
      </c>
      <c r="F89" s="165">
        <f>F29+(9/0.017)*(F15*F51+F30*F50)</f>
        <v>-0.008363773376133796</v>
      </c>
    </row>
    <row r="90" spans="1:6" ht="12.75">
      <c r="A90" s="165" t="s">
        <v>180</v>
      </c>
      <c r="B90" s="165">
        <f>B30+(10/0.017)*(B16*B51+B31*B50)</f>
        <v>-0.04340181994479892</v>
      </c>
      <c r="C90" s="165">
        <f>C30+(10/0.017)*(C16*C51+C31*C50)</f>
        <v>0.166535180793895</v>
      </c>
      <c r="D90" s="165">
        <f>D30+(10/0.017)*(D16*D51+D31*D50)</f>
        <v>0.13469544097028469</v>
      </c>
      <c r="E90" s="165">
        <f>E30+(10/0.017)*(E16*E51+E31*E50)</f>
        <v>0.03347830258539533</v>
      </c>
      <c r="F90" s="165">
        <f>F30+(10/0.017)*(F16*F51+F31*F50)</f>
        <v>0.2767246533968525</v>
      </c>
    </row>
    <row r="91" spans="1:6" ht="12.75">
      <c r="A91" s="165" t="s">
        <v>181</v>
      </c>
      <c r="B91" s="165">
        <f>B31+(11/0.017)*(B17*B51+B32*B50)</f>
        <v>0.027379153906497086</v>
      </c>
      <c r="C91" s="165">
        <f>C31+(11/0.017)*(C17*C51+C32*C50)</f>
        <v>-0.00805757030872176</v>
      </c>
      <c r="D91" s="165">
        <f>D31+(11/0.017)*(D17*D51+D32*D50)</f>
        <v>-0.007604393321672976</v>
      </c>
      <c r="E91" s="165">
        <f>E31+(11/0.017)*(E17*E51+E32*E50)</f>
        <v>0.007748974258817232</v>
      </c>
      <c r="F91" s="165">
        <f>F31+(11/0.017)*(F17*F51+F32*F50)</f>
        <v>0.04320734917886909</v>
      </c>
    </row>
    <row r="92" spans="1:6" ht="12.75">
      <c r="A92" s="165" t="s">
        <v>182</v>
      </c>
      <c r="B92" s="165">
        <f>B32+(12/0.017)*(B18*B51+B33*B50)</f>
        <v>-0.020900609627588745</v>
      </c>
      <c r="C92" s="165">
        <f>C32+(12/0.017)*(C18*C51+C33*C50)</f>
        <v>0.07058218933933852</v>
      </c>
      <c r="D92" s="165">
        <f>D32+(12/0.017)*(D18*D51+D33*D50)</f>
        <v>0.039061762430946306</v>
      </c>
      <c r="E92" s="165">
        <f>E32+(12/0.017)*(E18*E51+E33*E50)</f>
        <v>0.036387888133951864</v>
      </c>
      <c r="F92" s="165">
        <f>F32+(12/0.017)*(F18*F51+F33*F50)</f>
        <v>0.05120422173298663</v>
      </c>
    </row>
    <row r="93" spans="1:6" ht="12.75">
      <c r="A93" s="165" t="s">
        <v>183</v>
      </c>
      <c r="B93" s="165">
        <f>B33+(13/0.017)*(B19*B51+B34*B50)</f>
        <v>0.05425731946153263</v>
      </c>
      <c r="C93" s="165">
        <f>C33+(13/0.017)*(C19*C51+C34*C50)</f>
        <v>0.0321909690890326</v>
      </c>
      <c r="D93" s="165">
        <f>D33+(13/0.017)*(D19*D51+D34*D50)</f>
        <v>0.023709999378070085</v>
      </c>
      <c r="E93" s="165">
        <f>E33+(13/0.017)*(E19*E51+E34*E50)</f>
        <v>0.03498853364302395</v>
      </c>
      <c r="F93" s="165">
        <f>F33+(13/0.017)*(F19*F51+F34*F50)</f>
        <v>0.0378167888339437</v>
      </c>
    </row>
    <row r="94" spans="1:6" ht="12.75">
      <c r="A94" s="165" t="s">
        <v>184</v>
      </c>
      <c r="B94" s="165">
        <f>B34+(14/0.017)*(B20*B51+B35*B50)</f>
        <v>-0.009265903835805575</v>
      </c>
      <c r="C94" s="165">
        <f>C34+(14/0.017)*(C20*C51+C35*C50)</f>
        <v>0.013746176298592667</v>
      </c>
      <c r="D94" s="165">
        <f>D34+(14/0.017)*(D20*D51+D35*D50)</f>
        <v>0.015353142448509547</v>
      </c>
      <c r="E94" s="165">
        <f>E34+(14/0.017)*(E20*E51+E35*E50)</f>
        <v>0.017270128654846045</v>
      </c>
      <c r="F94" s="165">
        <f>F34+(14/0.017)*(F20*F51+F35*F50)</f>
        <v>-0.004445006813112638</v>
      </c>
    </row>
    <row r="95" spans="1:6" ht="12.75">
      <c r="A95" s="165" t="s">
        <v>185</v>
      </c>
      <c r="B95" s="166">
        <f>B35</f>
        <v>-0.005343076</v>
      </c>
      <c r="C95" s="166">
        <f>C35</f>
        <v>0.00228001</v>
      </c>
      <c r="D95" s="166">
        <f>D35</f>
        <v>0.004121066</v>
      </c>
      <c r="E95" s="166">
        <f>E35</f>
        <v>0.0003965438</v>
      </c>
      <c r="F95" s="166">
        <f>F35</f>
        <v>0.002435839</v>
      </c>
    </row>
    <row r="98" ht="12.75">
      <c r="A98" s="165" t="s">
        <v>153</v>
      </c>
    </row>
    <row r="100" spans="2:11" ht="12.75">
      <c r="B100" s="165" t="s">
        <v>84</v>
      </c>
      <c r="C100" s="165" t="s">
        <v>85</v>
      </c>
      <c r="D100" s="165" t="s">
        <v>86</v>
      </c>
      <c r="E100" s="165" t="s">
        <v>87</v>
      </c>
      <c r="F100" s="165" t="s">
        <v>88</v>
      </c>
      <c r="G100" s="165" t="s">
        <v>155</v>
      </c>
      <c r="H100" s="165" t="s">
        <v>156</v>
      </c>
      <c r="I100" s="165" t="s">
        <v>151</v>
      </c>
      <c r="K100" s="165" t="s">
        <v>186</v>
      </c>
    </row>
    <row r="101" spans="1:9" ht="12.75">
      <c r="A101" s="165" t="s">
        <v>154</v>
      </c>
      <c r="B101" s="165">
        <f>B61*10000/B62</f>
        <v>0</v>
      </c>
      <c r="C101" s="165">
        <f>C61*10000/C62</f>
        <v>0</v>
      </c>
      <c r="D101" s="165">
        <f>D61*10000/D62</f>
        <v>0</v>
      </c>
      <c r="E101" s="165">
        <f>E61*10000/E62</f>
        <v>0</v>
      </c>
      <c r="F101" s="165">
        <f>F61*10000/F62</f>
        <v>0</v>
      </c>
      <c r="G101" s="165">
        <f>AVERAGE(C101:E101)</f>
        <v>0</v>
      </c>
      <c r="H101" s="165">
        <f>STDEV(C101:E101)</f>
        <v>0</v>
      </c>
      <c r="I101" s="165">
        <f>(B101*B4+C101*C4+D101*D4+E101*E4+F101*F4)/SUM(B4:F4)</f>
        <v>0</v>
      </c>
    </row>
    <row r="102" spans="1:9" ht="12.75">
      <c r="A102" s="165" t="s">
        <v>157</v>
      </c>
      <c r="B102" s="165">
        <f>B62*10000/B62</f>
        <v>10000</v>
      </c>
      <c r="C102" s="165">
        <f>C62*10000/C62</f>
        <v>10000</v>
      </c>
      <c r="D102" s="165">
        <f>D62*10000/D62</f>
        <v>10000</v>
      </c>
      <c r="E102" s="165">
        <f>E62*10000/E62</f>
        <v>10000</v>
      </c>
      <c r="F102" s="165">
        <f>F62*10000/F62</f>
        <v>10000</v>
      </c>
      <c r="G102" s="165">
        <f>AVERAGE(C102:E102)</f>
        <v>10000</v>
      </c>
      <c r="H102" s="165">
        <f>STDEV(C102:E102)</f>
        <v>0</v>
      </c>
      <c r="I102" s="165">
        <f>(B102*B4+C102*C4+D102*D4+E102*E4+F102*F4)/SUM(B4:F4)</f>
        <v>10000.000000000002</v>
      </c>
    </row>
    <row r="103" spans="1:11" ht="12.75">
      <c r="A103" s="165" t="s">
        <v>158</v>
      </c>
      <c r="B103" s="165">
        <f>B63*10000/B62</f>
        <v>0.6522496965098734</v>
      </c>
      <c r="C103" s="165">
        <f>C63*10000/C62</f>
        <v>1.7359354832473062</v>
      </c>
      <c r="D103" s="165">
        <f>D63*10000/D62</f>
        <v>2.3620605606165737</v>
      </c>
      <c r="E103" s="165">
        <f>E63*10000/E62</f>
        <v>2.750371372762697</v>
      </c>
      <c r="F103" s="165">
        <f>F63*10000/F62</f>
        <v>-0.21852376506262608</v>
      </c>
      <c r="G103" s="165">
        <f>AVERAGE(C103:E103)</f>
        <v>2.2827891388755255</v>
      </c>
      <c r="H103" s="165">
        <f>STDEV(C103:E103)</f>
        <v>0.5118427612195547</v>
      </c>
      <c r="I103" s="165">
        <f>(B103*B4+C103*C4+D103*D4+E103*E4+F103*F4)/SUM(B4:F4)</f>
        <v>1.712777250313214</v>
      </c>
      <c r="K103" s="165">
        <f>(LN(H103)+LN(H123))/2-LN(K114*K115^3)</f>
        <v>-4.298408349175655</v>
      </c>
    </row>
    <row r="104" spans="1:11" ht="12.75">
      <c r="A104" s="165" t="s">
        <v>159</v>
      </c>
      <c r="B104" s="165">
        <f>B64*10000/B62</f>
        <v>0.29033738345539506</v>
      </c>
      <c r="C104" s="165">
        <f>C64*10000/C62</f>
        <v>0.7865294689071743</v>
      </c>
      <c r="D104" s="165">
        <f>D64*10000/D62</f>
        <v>0.2831182758830052</v>
      </c>
      <c r="E104" s="165">
        <f>E64*10000/E62</f>
        <v>-0.5046241302776298</v>
      </c>
      <c r="F104" s="165">
        <f>F64*10000/F62</f>
        <v>-0.8008996498978495</v>
      </c>
      <c r="G104" s="165">
        <f>AVERAGE(C104:E104)</f>
        <v>0.1883412048375166</v>
      </c>
      <c r="H104" s="165">
        <f>STDEV(C104:E104)</f>
        <v>0.6507737118760557</v>
      </c>
      <c r="I104" s="165">
        <f>(B104*B4+C104*C4+D104*D4+E104*E4+F104*F4)/SUM(B4:F4)</f>
        <v>0.07097382308878643</v>
      </c>
      <c r="K104" s="165">
        <f>(LN(H104)+LN(H124))/2-LN(K114*K115^4)</f>
        <v>-3.7530433118800626</v>
      </c>
    </row>
    <row r="105" spans="1:11" ht="12.75">
      <c r="A105" s="165" t="s">
        <v>160</v>
      </c>
      <c r="B105" s="165">
        <f>B65*10000/B62</f>
        <v>-0.2239153469687245</v>
      </c>
      <c r="C105" s="165">
        <f>C65*10000/C62</f>
        <v>-0.4784799877933517</v>
      </c>
      <c r="D105" s="165">
        <f>D65*10000/D62</f>
        <v>-1.1534089696028411</v>
      </c>
      <c r="E105" s="165">
        <f>E65*10000/E62</f>
        <v>-0.9464074633330614</v>
      </c>
      <c r="F105" s="165">
        <f>F65*10000/F62</f>
        <v>-0.5501026409775086</v>
      </c>
      <c r="G105" s="165">
        <f>AVERAGE(C105:E105)</f>
        <v>-0.8594321402430847</v>
      </c>
      <c r="H105" s="165">
        <f>STDEV(C105:E105)</f>
        <v>0.34576843803556273</v>
      </c>
      <c r="I105" s="165">
        <f>(B105*B4+C105*C4+D105*D4+E105*E4+F105*F4)/SUM(B4:F4)</f>
        <v>-0.7262232717716979</v>
      </c>
      <c r="K105" s="165">
        <f>(LN(H105)+LN(H125))/2-LN(K114*K115^5)</f>
        <v>-3.8057514984410177</v>
      </c>
    </row>
    <row r="106" spans="1:11" ht="12.75">
      <c r="A106" s="165" t="s">
        <v>161</v>
      </c>
      <c r="B106" s="165">
        <f>B66*10000/B62</f>
        <v>4.956520223858346</v>
      </c>
      <c r="C106" s="165">
        <f>C66*10000/C62</f>
        <v>4.310589126724916</v>
      </c>
      <c r="D106" s="165">
        <f>D66*10000/D62</f>
        <v>4.310275036868651</v>
      </c>
      <c r="E106" s="165">
        <f>E66*10000/E62</f>
        <v>5.100832741006992</v>
      </c>
      <c r="F106" s="165">
        <f>F66*10000/F62</f>
        <v>15.478788691620323</v>
      </c>
      <c r="G106" s="165">
        <f>AVERAGE(C106:E106)</f>
        <v>4.5738989682001865</v>
      </c>
      <c r="H106" s="165">
        <f>STDEV(C106:E106)</f>
        <v>0.4563380603855206</v>
      </c>
      <c r="I106" s="165">
        <f>(B106*B4+C106*C4+D106*D4+E106*E4+F106*F4)/SUM(B4:F4)</f>
        <v>6.086433587776524</v>
      </c>
      <c r="K106" s="165">
        <f>(LN(H106)+LN(H126))/2-LN(K114*K115^6)</f>
        <v>-3.0087144435033846</v>
      </c>
    </row>
    <row r="107" spans="1:11" ht="12.75">
      <c r="A107" s="165" t="s">
        <v>162</v>
      </c>
      <c r="B107" s="165">
        <f>B67*10000/B62</f>
        <v>0.2516637254371972</v>
      </c>
      <c r="C107" s="165">
        <f>C67*10000/C62</f>
        <v>0.2741782318664741</v>
      </c>
      <c r="D107" s="165">
        <f>D67*10000/D62</f>
        <v>-0.08783160357071902</v>
      </c>
      <c r="E107" s="165">
        <f>E67*10000/E62</f>
        <v>-0.07781206074569716</v>
      </c>
      <c r="F107" s="165">
        <f>F67*10000/F62</f>
        <v>-0.24593842479249203</v>
      </c>
      <c r="G107" s="165">
        <f>AVERAGE(C107:E107)</f>
        <v>0.036178189183352645</v>
      </c>
      <c r="H107" s="165">
        <f>STDEV(C107:E107)</f>
        <v>0.20617495737232816</v>
      </c>
      <c r="I107" s="165">
        <f>(B107*B4+C107*C4+D107*D4+E107*E4+F107*F4)/SUM(B4:F4)</f>
        <v>0.029638636143517232</v>
      </c>
      <c r="K107" s="165">
        <f>(LN(H107)+LN(H127))/2-LN(K114*K115^7)</f>
        <v>-3.3990933680720197</v>
      </c>
    </row>
    <row r="108" spans="1:9" ht="12.75">
      <c r="A108" s="165" t="s">
        <v>163</v>
      </c>
      <c r="B108" s="165">
        <f>B68*10000/B62</f>
        <v>-0.07338605038355508</v>
      </c>
      <c r="C108" s="165">
        <f>C68*10000/C62</f>
        <v>0.15149666266086892</v>
      </c>
      <c r="D108" s="165">
        <f>D68*10000/D62</f>
        <v>-0.121051556714394</v>
      </c>
      <c r="E108" s="165">
        <f>E68*10000/E62</f>
        <v>-0.20266042116910502</v>
      </c>
      <c r="F108" s="165">
        <f>F68*10000/F62</f>
        <v>-0.22939363124879358</v>
      </c>
      <c r="G108" s="165">
        <f>AVERAGE(C108:E108)</f>
        <v>-0.05740510507421004</v>
      </c>
      <c r="H108" s="165">
        <f>STDEV(C108:E108)</f>
        <v>0.18545879087152353</v>
      </c>
      <c r="I108" s="165">
        <f>(B108*B4+C108*C4+D108*D4+E108*E4+F108*F4)/SUM(B4:F4)</f>
        <v>-0.08268044087785553</v>
      </c>
    </row>
    <row r="109" spans="1:9" ht="12.75">
      <c r="A109" s="165" t="s">
        <v>164</v>
      </c>
      <c r="B109" s="165">
        <f>B69*10000/B62</f>
        <v>-0.002881961630515907</v>
      </c>
      <c r="C109" s="165">
        <f>C69*10000/C62</f>
        <v>-0.0471949652309135</v>
      </c>
      <c r="D109" s="165">
        <f>D69*10000/D62</f>
        <v>-0.1246284371678118</v>
      </c>
      <c r="E109" s="165">
        <f>E69*10000/E62</f>
        <v>-0.11293029557545782</v>
      </c>
      <c r="F109" s="165">
        <f>F69*10000/F62</f>
        <v>-0.03334962957955421</v>
      </c>
      <c r="G109" s="165">
        <f>AVERAGE(C109:E109)</f>
        <v>-0.0949178993247277</v>
      </c>
      <c r="H109" s="165">
        <f>STDEV(C109:E109)</f>
        <v>0.04174111232430916</v>
      </c>
      <c r="I109" s="165">
        <f>(B109*B4+C109*C4+D109*D4+E109*E4+F109*F4)/SUM(B4:F4)</f>
        <v>-0.07338458962454443</v>
      </c>
    </row>
    <row r="110" spans="1:11" ht="12.75">
      <c r="A110" s="165" t="s">
        <v>165</v>
      </c>
      <c r="B110" s="165">
        <f>B70*10000/B62</f>
        <v>-0.36201444207438455</v>
      </c>
      <c r="C110" s="165">
        <f>C70*10000/C62</f>
        <v>-0.168581628286254</v>
      </c>
      <c r="D110" s="165">
        <f>D70*10000/D62</f>
        <v>-0.11411647531072738</v>
      </c>
      <c r="E110" s="165">
        <f>E70*10000/E62</f>
        <v>-0.08065971467231754</v>
      </c>
      <c r="F110" s="165">
        <f>F70*10000/F62</f>
        <v>-0.3621559065272467</v>
      </c>
      <c r="G110" s="165">
        <f>AVERAGE(C110:E110)</f>
        <v>-0.12111927275643297</v>
      </c>
      <c r="H110" s="165">
        <f>STDEV(C110:E110)</f>
        <v>0.044377303911271045</v>
      </c>
      <c r="I110" s="165">
        <f>(B110*B4+C110*C4+D110*D4+E110*E4+F110*F4)/SUM(B4:F4)</f>
        <v>-0.18815571618583687</v>
      </c>
      <c r="K110" s="165">
        <f>EXP(AVERAGE(K103:K107))</f>
        <v>0.025913215376412748</v>
      </c>
    </row>
    <row r="111" spans="1:9" ht="12.75">
      <c r="A111" s="165" t="s">
        <v>166</v>
      </c>
      <c r="B111" s="165">
        <f>B71*10000/B62</f>
        <v>0.007598441133665333</v>
      </c>
      <c r="C111" s="165">
        <f>C71*10000/C62</f>
        <v>0.021645808152745086</v>
      </c>
      <c r="D111" s="165">
        <f>D71*10000/D62</f>
        <v>-0.0012766898299170013</v>
      </c>
      <c r="E111" s="165">
        <f>E71*10000/E62</f>
        <v>0.001027866564619645</v>
      </c>
      <c r="F111" s="165">
        <f>F71*10000/F62</f>
        <v>-0.00661031449408164</v>
      </c>
      <c r="G111" s="165">
        <f>AVERAGE(C111:E111)</f>
        <v>0.00713232829581591</v>
      </c>
      <c r="H111" s="165">
        <f>STDEV(C111:E111)</f>
        <v>0.012621749807852184</v>
      </c>
      <c r="I111" s="165">
        <f>(B111*B4+C111*C4+D111*D4+E111*E4+F111*F4)/SUM(B4:F4)</f>
        <v>0.005363959540813701</v>
      </c>
    </row>
    <row r="112" spans="1:9" ht="12.75">
      <c r="A112" s="165" t="s">
        <v>167</v>
      </c>
      <c r="B112" s="165">
        <f>B72*10000/B62</f>
        <v>-0.016780251278328513</v>
      </c>
      <c r="C112" s="165">
        <f>C72*10000/C62</f>
        <v>0.0014605358492664356</v>
      </c>
      <c r="D112" s="165">
        <f>D72*10000/D62</f>
        <v>0.0030615032126776274</v>
      </c>
      <c r="E112" s="165">
        <f>E72*10000/E62</f>
        <v>0.003031864064475716</v>
      </c>
      <c r="F112" s="165">
        <f>F72*10000/F62</f>
        <v>-0.021542869693163703</v>
      </c>
      <c r="G112" s="165">
        <f>AVERAGE(C112:E112)</f>
        <v>0.002517967708806593</v>
      </c>
      <c r="H112" s="165">
        <f>STDEV(C112:E112)</f>
        <v>0.0009158827561180801</v>
      </c>
      <c r="I112" s="165">
        <f>(B112*B4+C112*C4+D112*D4+E112*E4+F112*F4)/SUM(B4:F4)</f>
        <v>-0.003486949175714537</v>
      </c>
    </row>
    <row r="113" spans="1:9" ht="12.75">
      <c r="A113" s="165" t="s">
        <v>168</v>
      </c>
      <c r="B113" s="165">
        <f>B73*10000/B62</f>
        <v>0.01922355703377234</v>
      </c>
      <c r="C113" s="165">
        <f>C73*10000/C62</f>
        <v>0.022087167927920103</v>
      </c>
      <c r="D113" s="165">
        <f>D73*10000/D62</f>
        <v>0.027785721538927135</v>
      </c>
      <c r="E113" s="165">
        <f>E73*10000/E62</f>
        <v>0.03068554434300463</v>
      </c>
      <c r="F113" s="165">
        <f>F73*10000/F62</f>
        <v>-0.0003307884633719199</v>
      </c>
      <c r="G113" s="165">
        <f>AVERAGE(C113:E113)</f>
        <v>0.02685281126995062</v>
      </c>
      <c r="H113" s="165">
        <f>STDEV(C113:E113)</f>
        <v>0.004374444012825146</v>
      </c>
      <c r="I113" s="165">
        <f>(B113*B4+C113*C4+D113*D4+E113*E4+F113*F4)/SUM(B4:F4)</f>
        <v>0.02211682528773682</v>
      </c>
    </row>
    <row r="114" spans="1:11" ht="12.75">
      <c r="A114" s="165" t="s">
        <v>169</v>
      </c>
      <c r="B114" s="165">
        <f>B74*10000/B62</f>
        <v>-0.1888956219175134</v>
      </c>
      <c r="C114" s="165">
        <f>C74*10000/C62</f>
        <v>-0.15670304904095894</v>
      </c>
      <c r="D114" s="165">
        <f>D74*10000/D62</f>
        <v>-0.16462385550294217</v>
      </c>
      <c r="E114" s="165">
        <f>E74*10000/E62</f>
        <v>-0.17094831470000932</v>
      </c>
      <c r="F114" s="165">
        <f>F74*10000/F62</f>
        <v>-0.13157632384896667</v>
      </c>
      <c r="G114" s="165">
        <f>AVERAGE(C114:E114)</f>
        <v>-0.16409173974797014</v>
      </c>
      <c r="H114" s="165">
        <f>STDEV(C114:E114)</f>
        <v>0.007137524697452478</v>
      </c>
      <c r="I114" s="165">
        <f>(B114*B4+C114*C4+D114*D4+E114*E4+F114*F4)/SUM(B4:F4)</f>
        <v>-0.16333083784641456</v>
      </c>
      <c r="J114" s="165" t="s">
        <v>187</v>
      </c>
      <c r="K114" s="165">
        <v>285</v>
      </c>
    </row>
    <row r="115" spans="1:11" ht="12.75">
      <c r="A115" s="165" t="s">
        <v>170</v>
      </c>
      <c r="B115" s="165">
        <f>B75*10000/B62</f>
        <v>-0.005035151980091561</v>
      </c>
      <c r="C115" s="165">
        <f>C75*10000/C62</f>
        <v>0.0040393443493134526</v>
      </c>
      <c r="D115" s="165">
        <f>D75*10000/D62</f>
        <v>0.006201653715306031</v>
      </c>
      <c r="E115" s="165">
        <f>E75*10000/E62</f>
        <v>0.006731024842473095</v>
      </c>
      <c r="F115" s="165">
        <f>F75*10000/F62</f>
        <v>0.004498792371459103</v>
      </c>
      <c r="G115" s="165">
        <f>AVERAGE(C115:E115)</f>
        <v>0.005657340969030859</v>
      </c>
      <c r="H115" s="165">
        <f>STDEV(C115:E115)</f>
        <v>0.001426006046141548</v>
      </c>
      <c r="I115" s="165">
        <f>(B115*B4+C115*C4+D115*D4+E115*E4+F115*F4)/SUM(B4:F4)</f>
        <v>0.003956847563573641</v>
      </c>
      <c r="J115" s="165" t="s">
        <v>188</v>
      </c>
      <c r="K115" s="165">
        <v>0.5536</v>
      </c>
    </row>
    <row r="118" ht="12.75">
      <c r="A118" s="165" t="s">
        <v>153</v>
      </c>
    </row>
    <row r="120" spans="2:9" ht="12.75">
      <c r="B120" s="165" t="s">
        <v>84</v>
      </c>
      <c r="C120" s="165" t="s">
        <v>85</v>
      </c>
      <c r="D120" s="165" t="s">
        <v>86</v>
      </c>
      <c r="E120" s="165" t="s">
        <v>87</v>
      </c>
      <c r="F120" s="165" t="s">
        <v>88</v>
      </c>
      <c r="G120" s="165" t="s">
        <v>155</v>
      </c>
      <c r="H120" s="165" t="s">
        <v>156</v>
      </c>
      <c r="I120" s="165" t="s">
        <v>151</v>
      </c>
    </row>
    <row r="121" spans="1:9" ht="12.75">
      <c r="A121" s="165" t="s">
        <v>171</v>
      </c>
      <c r="B121" s="165">
        <f>B81*10000/B62</f>
        <v>0</v>
      </c>
      <c r="C121" s="165">
        <f>C81*10000/C62</f>
        <v>0</v>
      </c>
      <c r="D121" s="165">
        <f>D81*10000/D62</f>
        <v>0</v>
      </c>
      <c r="E121" s="165">
        <f>E81*10000/E62</f>
        <v>0</v>
      </c>
      <c r="F121" s="165">
        <f>F81*10000/F62</f>
        <v>0</v>
      </c>
      <c r="G121" s="165">
        <f>AVERAGE(C121:E121)</f>
        <v>0</v>
      </c>
      <c r="H121" s="165">
        <f>STDEV(C121:E121)</f>
        <v>0</v>
      </c>
      <c r="I121" s="165">
        <f>(B121*B4+C121*C4+D121*D4+E121*E4+F121*F4)/SUM(B4:F4)</f>
        <v>0</v>
      </c>
    </row>
    <row r="122" spans="1:9" ht="12.75">
      <c r="A122" s="165" t="s">
        <v>172</v>
      </c>
      <c r="B122" s="165">
        <f>B82*10000/B62</f>
        <v>127.17857361225849</v>
      </c>
      <c r="C122" s="165">
        <f>C82*10000/C62</f>
        <v>78.48573759682311</v>
      </c>
      <c r="D122" s="165">
        <f>D82*10000/D62</f>
        <v>-8.741452563934718</v>
      </c>
      <c r="E122" s="165">
        <f>E82*10000/E62</f>
        <v>-66.1840834387921</v>
      </c>
      <c r="F122" s="165">
        <f>F82*10000/F62</f>
        <v>-142.51344334430453</v>
      </c>
      <c r="G122" s="165">
        <f>AVERAGE(C122:E122)</f>
        <v>1.1867338646987662</v>
      </c>
      <c r="H122" s="165">
        <f>STDEV(C122:E122)</f>
        <v>72.84412086050946</v>
      </c>
      <c r="I122" s="165">
        <f>(B122*B4+C122*C4+D122*D4+E122*E4+F122*F4)/SUM(B4:F4)</f>
        <v>0.2030222755222181</v>
      </c>
    </row>
    <row r="123" spans="1:9" ht="12.75">
      <c r="A123" s="165" t="s">
        <v>173</v>
      </c>
      <c r="B123" s="165">
        <f>B83*10000/B62</f>
        <v>4.2002009002382055</v>
      </c>
      <c r="C123" s="165">
        <f>C83*10000/C62</f>
        <v>1.5333612136968815</v>
      </c>
      <c r="D123" s="165">
        <f>D83*10000/D62</f>
        <v>3.1939416179351716</v>
      </c>
      <c r="E123" s="165">
        <f>E83*10000/E62</f>
        <v>2.104305288261639</v>
      </c>
      <c r="F123" s="165">
        <f>F83*10000/F62</f>
        <v>6.216798230665884</v>
      </c>
      <c r="G123" s="165">
        <f>AVERAGE(C123:E123)</f>
        <v>2.277202706631231</v>
      </c>
      <c r="H123" s="165">
        <f>STDEV(C123:E123)</f>
        <v>0.8436835649070104</v>
      </c>
      <c r="I123" s="165">
        <f>(B123*B4+C123*C4+D123*D4+E123*E4+F123*F4)/SUM(B4:F4)</f>
        <v>3.0816575857996042</v>
      </c>
    </row>
    <row r="124" spans="1:9" ht="12.75">
      <c r="A124" s="165" t="s">
        <v>174</v>
      </c>
      <c r="B124" s="165">
        <f>B84*10000/B62</f>
        <v>0.017700348115549276</v>
      </c>
      <c r="C124" s="165">
        <f>C84*10000/C62</f>
        <v>0.7203054166670927</v>
      </c>
      <c r="D124" s="165">
        <f>D84*10000/D62</f>
        <v>0.8598812716827646</v>
      </c>
      <c r="E124" s="165">
        <f>E84*10000/E62</f>
        <v>1.8315260273307434</v>
      </c>
      <c r="F124" s="165">
        <f>F84*10000/F62</f>
        <v>3.2885200654887705</v>
      </c>
      <c r="G124" s="165">
        <f>AVERAGE(C124:E124)</f>
        <v>1.1372375718935335</v>
      </c>
      <c r="H124" s="165">
        <f>STDEV(C124:E124)</f>
        <v>0.6053079376159535</v>
      </c>
      <c r="I124" s="165">
        <f>(B124*B4+C124*C4+D124*D4+E124*E4+F124*F4)/SUM(B4:F4)</f>
        <v>1.2628175739514156</v>
      </c>
    </row>
    <row r="125" spans="1:9" ht="12.75">
      <c r="A125" s="165" t="s">
        <v>175</v>
      </c>
      <c r="B125" s="165">
        <f>B85*10000/B62</f>
        <v>0.9216813658416673</v>
      </c>
      <c r="C125" s="165">
        <f>C85*10000/C62</f>
        <v>1.0375669283155153</v>
      </c>
      <c r="D125" s="165">
        <f>D85*10000/D62</f>
        <v>1.6219079022435203</v>
      </c>
      <c r="E125" s="165">
        <f>E85*10000/E62</f>
        <v>1.1294661318917283</v>
      </c>
      <c r="F125" s="165">
        <f>F85*10000/F62</f>
        <v>-0.8658253418375358</v>
      </c>
      <c r="G125" s="165">
        <f>AVERAGE(C125:E125)</f>
        <v>1.2629803208169212</v>
      </c>
      <c r="H125" s="165">
        <f>STDEV(C125:E125)</f>
        <v>0.31421827196400726</v>
      </c>
      <c r="I125" s="165">
        <f>(B125*B4+C125*C4+D125*D4+E125*E4+F125*F4)/SUM(B4:F4)</f>
        <v>0.9291776832028436</v>
      </c>
    </row>
    <row r="126" spans="1:9" ht="12.75">
      <c r="A126" s="165" t="s">
        <v>176</v>
      </c>
      <c r="B126" s="165">
        <f>B86*10000/B62</f>
        <v>-0.028559772674152065</v>
      </c>
      <c r="C126" s="165">
        <f>C86*10000/C62</f>
        <v>0.4843944753941855</v>
      </c>
      <c r="D126" s="165">
        <f>D86*10000/D62</f>
        <v>-0.08073114610286239</v>
      </c>
      <c r="E126" s="165">
        <f>E86*10000/E62</f>
        <v>-0.18248278210764096</v>
      </c>
      <c r="F126" s="165">
        <f>F86*10000/F62</f>
        <v>0.8257911177195268</v>
      </c>
      <c r="G126" s="165">
        <f>AVERAGE(C126:E126)</f>
        <v>0.07372684906122738</v>
      </c>
      <c r="H126" s="165">
        <f>STDEV(C126:E126)</f>
        <v>0.35926908209011227</v>
      </c>
      <c r="I126" s="165">
        <f>(B126*B4+C126*C4+D126*D4+E126*E4+F126*F4)/SUM(B4:F4)</f>
        <v>0.15947847106082744</v>
      </c>
    </row>
    <row r="127" spans="1:9" ht="12.75">
      <c r="A127" s="165" t="s">
        <v>177</v>
      </c>
      <c r="B127" s="165">
        <f>B87*10000/B62</f>
        <v>0.46772740076127567</v>
      </c>
      <c r="C127" s="165">
        <f>C87*10000/C62</f>
        <v>-0.06694501165339001</v>
      </c>
      <c r="D127" s="165">
        <f>D87*10000/D62</f>
        <v>-0.16223593811601175</v>
      </c>
      <c r="E127" s="165">
        <f>E87*10000/E62</f>
        <v>0.060263815366015536</v>
      </c>
      <c r="F127" s="165">
        <f>F87*10000/F62</f>
        <v>0.6692199963797718</v>
      </c>
      <c r="G127" s="165">
        <f>AVERAGE(C127:E127)</f>
        <v>-0.056305711467795415</v>
      </c>
      <c r="H127" s="165">
        <f>STDEV(C127:E127)</f>
        <v>0.11163078028133692</v>
      </c>
      <c r="I127" s="165">
        <f>(B127*B4+C127*C4+D127*D4+E127*E4+F127*F4)/SUM(B4:F4)</f>
        <v>0.11638200985413391</v>
      </c>
    </row>
    <row r="128" spans="1:9" ht="12.75">
      <c r="A128" s="165" t="s">
        <v>178</v>
      </c>
      <c r="B128" s="165">
        <f>B88*10000/B62</f>
        <v>-0.2127852313122316</v>
      </c>
      <c r="C128" s="165">
        <f>C88*10000/C62</f>
        <v>0.3924196130097177</v>
      </c>
      <c r="D128" s="165">
        <f>D88*10000/D62</f>
        <v>0.22803978584939952</v>
      </c>
      <c r="E128" s="165">
        <f>E88*10000/E62</f>
        <v>0.24234079715874887</v>
      </c>
      <c r="F128" s="165">
        <f>F88*10000/F62</f>
        <v>0.5081674561459905</v>
      </c>
      <c r="G128" s="165">
        <f>AVERAGE(C128:E128)</f>
        <v>0.2876000653392887</v>
      </c>
      <c r="H128" s="165">
        <f>STDEV(C128:E128)</f>
        <v>0.09105758019787555</v>
      </c>
      <c r="I128" s="165">
        <f>(B128*B4+C128*C4+D128*D4+E128*E4+F128*F4)/SUM(B4:F4)</f>
        <v>0.24475438113006606</v>
      </c>
    </row>
    <row r="129" spans="1:9" ht="12.75">
      <c r="A129" s="165" t="s">
        <v>179</v>
      </c>
      <c r="B129" s="165">
        <f>B89*10000/B62</f>
        <v>0.12269486944701116</v>
      </c>
      <c r="C129" s="165">
        <f>C89*10000/C62</f>
        <v>0.06621382360261381</v>
      </c>
      <c r="D129" s="165">
        <f>D89*10000/D62</f>
        <v>0.18063346911117326</v>
      </c>
      <c r="E129" s="165">
        <f>E89*10000/E62</f>
        <v>0.11428639257099349</v>
      </c>
      <c r="F129" s="165">
        <f>F89*10000/F62</f>
        <v>-0.00836396741920388</v>
      </c>
      <c r="G129" s="165">
        <f>AVERAGE(C129:E129)</f>
        <v>0.12037789509492686</v>
      </c>
      <c r="H129" s="165">
        <f>STDEV(C129:E129)</f>
        <v>0.057452533641480195</v>
      </c>
      <c r="I129" s="165">
        <f>(B129*B4+C129*C4+D129*D4+E129*E4+F129*F4)/SUM(B4:F4)</f>
        <v>0.10350890340976356</v>
      </c>
    </row>
    <row r="130" spans="1:9" ht="12.75">
      <c r="A130" s="165" t="s">
        <v>180</v>
      </c>
      <c r="B130" s="165">
        <f>B90*10000/B62</f>
        <v>-0.04340244040504455</v>
      </c>
      <c r="C130" s="165">
        <f>C90*10000/C62</f>
        <v>0.16653470045762592</v>
      </c>
      <c r="D130" s="165">
        <f>D90*10000/D62</f>
        <v>0.1346943053940561</v>
      </c>
      <c r="E130" s="165">
        <f>E90*10000/E62</f>
        <v>0.033478296828169614</v>
      </c>
      <c r="F130" s="165">
        <f>F90*10000/F62</f>
        <v>0.27673107352553106</v>
      </c>
      <c r="G130" s="165">
        <f>AVERAGE(C130:E130)</f>
        <v>0.11156910089328387</v>
      </c>
      <c r="H130" s="165">
        <f>STDEV(C130:E130)</f>
        <v>0.06947721172516282</v>
      </c>
      <c r="I130" s="165">
        <f>(B130*B4+C130*C4+D130*D4+E130*E4+F130*F4)/SUM(B4:F4)</f>
        <v>0.11125073867194349</v>
      </c>
    </row>
    <row r="131" spans="1:9" ht="12.75">
      <c r="A131" s="165" t="s">
        <v>181</v>
      </c>
      <c r="B131" s="165">
        <f>B91*10000/B62</f>
        <v>0.02737954531120268</v>
      </c>
      <c r="C131" s="165">
        <f>C91*10000/C62</f>
        <v>-0.0080575470683275</v>
      </c>
      <c r="D131" s="165">
        <f>D91*10000/D62</f>
        <v>-0.0076043292113495186</v>
      </c>
      <c r="E131" s="165">
        <f>E91*10000/E62</f>
        <v>0.007748972926234919</v>
      </c>
      <c r="F131" s="165">
        <f>F91*10000/F62</f>
        <v>0.04320835160759449</v>
      </c>
      <c r="G131" s="165">
        <f>AVERAGE(C131:E131)</f>
        <v>-0.002637634451147367</v>
      </c>
      <c r="H131" s="165">
        <f>STDEV(C131:E131)</f>
        <v>0.008997919827126158</v>
      </c>
      <c r="I131" s="165">
        <f>(B131*B4+C131*C4+D131*D4+E131*E4+F131*F4)/SUM(B4:F4)</f>
        <v>0.007826542218524744</v>
      </c>
    </row>
    <row r="132" spans="1:9" ht="12.75">
      <c r="A132" s="165" t="s">
        <v>182</v>
      </c>
      <c r="B132" s="165">
        <f>B92*10000/B62</f>
        <v>-0.020900908416842275</v>
      </c>
      <c r="C132" s="165">
        <f>C92*10000/C62</f>
        <v>0.07058198575961842</v>
      </c>
      <c r="D132" s="165">
        <f>D92*10000/D62</f>
        <v>0.03906143311312721</v>
      </c>
      <c r="E132" s="165">
        <f>E92*10000/E62</f>
        <v>0.03638788187636802</v>
      </c>
      <c r="F132" s="165">
        <f>F92*10000/F62</f>
        <v>0.05120540969252828</v>
      </c>
      <c r="G132" s="165">
        <f>AVERAGE(C132:E132)</f>
        <v>0.04867710024970454</v>
      </c>
      <c r="H132" s="165">
        <f>STDEV(C132:E132)</f>
        <v>0.01901722839836868</v>
      </c>
      <c r="I132" s="165">
        <f>(B132*B4+C132*C4+D132*D4+E132*E4+F132*F4)/SUM(B4:F4)</f>
        <v>0.03895950183310217</v>
      </c>
    </row>
    <row r="133" spans="1:9" ht="12.75">
      <c r="A133" s="165" t="s">
        <v>183</v>
      </c>
      <c r="B133" s="165">
        <f>B93*10000/B62</f>
        <v>0.05425809510895486</v>
      </c>
      <c r="C133" s="165">
        <f>C93*10000/C62</f>
        <v>0.03219087624084331</v>
      </c>
      <c r="D133" s="165">
        <f>D93*10000/D62</f>
        <v>0.023709799486288454</v>
      </c>
      <c r="E133" s="165">
        <f>E93*10000/E62</f>
        <v>0.03498852762608551</v>
      </c>
      <c r="F133" s="165">
        <f>F93*10000/F62</f>
        <v>0.0378176661993954</v>
      </c>
      <c r="G133" s="165">
        <f>AVERAGE(C133:E133)</f>
        <v>0.030296401117739093</v>
      </c>
      <c r="H133" s="165">
        <f>STDEV(C133:E133)</f>
        <v>0.005873176662327481</v>
      </c>
      <c r="I133" s="165">
        <f>(B133*B4+C133*C4+D133*D4+E133*E4+F133*F4)/SUM(B4:F4)</f>
        <v>0.03476442623317391</v>
      </c>
    </row>
    <row r="134" spans="1:9" ht="12.75">
      <c r="A134" s="165" t="s">
        <v>184</v>
      </c>
      <c r="B134" s="165">
        <f>B94*10000/B62</f>
        <v>-0.009266036298568132</v>
      </c>
      <c r="C134" s="165">
        <f>C94*10000/C62</f>
        <v>0.01374613665059153</v>
      </c>
      <c r="D134" s="165">
        <f>D94*10000/D62</f>
        <v>0.015353013010842817</v>
      </c>
      <c r="E134" s="165">
        <f>E94*10000/E62</f>
        <v>0.017270125684921613</v>
      </c>
      <c r="F134" s="165">
        <f>F94*10000/F62</f>
        <v>-0.004445109939145563</v>
      </c>
      <c r="G134" s="165">
        <f>AVERAGE(C134:E134)</f>
        <v>0.015456425115451986</v>
      </c>
      <c r="H134" s="165">
        <f>STDEV(C134:E134)</f>
        <v>0.0017642690344883449</v>
      </c>
      <c r="I134" s="165">
        <f>(B134*B4+C134*C4+D134*D4+E134*E4+F134*F4)/SUM(B4:F4)</f>
        <v>0.009223139012567987</v>
      </c>
    </row>
    <row r="135" spans="1:9" ht="12.75">
      <c r="A135" s="165" t="s">
        <v>185</v>
      </c>
      <c r="B135" s="165">
        <f>B95*10000/B62</f>
        <v>-0.0053431523831159984</v>
      </c>
      <c r="C135" s="165">
        <f>C95*10000/C62</f>
        <v>0.0022800034237829407</v>
      </c>
      <c r="D135" s="165">
        <f>D95*10000/D62</f>
        <v>0.004121031256548014</v>
      </c>
      <c r="E135" s="165">
        <f>E95*10000/E62</f>
        <v>0.0003965437318068126</v>
      </c>
      <c r="F135" s="165">
        <f>F95*10000/F62</f>
        <v>0.002435895512492213</v>
      </c>
      <c r="G135" s="165">
        <f>AVERAGE(C135:E135)</f>
        <v>0.002265859470712589</v>
      </c>
      <c r="H135" s="165">
        <f>STDEV(C135:E135)</f>
        <v>0.0018622840462841743</v>
      </c>
      <c r="I135" s="165">
        <f>(B135*B4+C135*C4+D135*D4+E135*E4+F135*F4)/SUM(B4:F4)</f>
        <v>0.0011889890017210557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2003-12-02T07:07:40Z</cp:lastPrinted>
  <dcterms:created xsi:type="dcterms:W3CDTF">1999-06-17T15:15:05Z</dcterms:created>
  <dcterms:modified xsi:type="dcterms:W3CDTF">2005-10-05T15:05:35Z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1421584721</vt:i4>
  </property>
  <property fmtid="{D5CDD505-2E9C-101B-9397-08002B2CF9AE}" pid="3" name="_EmailSubject">
    <vt:lpwstr>WFM result of aperture 54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  <property fmtid="{D5CDD505-2E9C-101B-9397-08002B2CF9AE}" pid="6" name="_ReviewingToolsShownOnce">
    <vt:lpwstr/>
  </property>
</Properties>
</file>