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42_pos1ap2" sheetId="2" r:id="rId2"/>
    <sheet name="HCMQAP142_pos2ap2" sheetId="3" r:id="rId3"/>
    <sheet name="HCMQAP142_pos3ap2" sheetId="4" r:id="rId4"/>
    <sheet name="HCMQAP142_pos4ap2" sheetId="5" r:id="rId5"/>
    <sheet name="HCMQAP142_pos5ap2" sheetId="6" r:id="rId6"/>
    <sheet name="Lmag_hcmqap" sheetId="7" r:id="rId7"/>
    <sheet name="Result_HCMQAP" sheetId="8" r:id="rId8"/>
  </sheets>
  <definedNames>
    <definedName name="_xlnm.Print_Area" localSheetId="1">'HCMQAP142_pos1ap2'!$A$1:$N$28</definedName>
    <definedName name="_xlnm.Print_Area" localSheetId="2">'HCMQAP142_pos2ap2'!$A$1:$N$28</definedName>
    <definedName name="_xlnm.Print_Area" localSheetId="3">'HCMQAP142_pos3ap2'!$A$1:$N$28</definedName>
    <definedName name="_xlnm.Print_Area" localSheetId="4">'HCMQAP142_pos4ap2'!$A$1:$N$28</definedName>
    <definedName name="_xlnm.Print_Area" localSheetId="5">'HCMQAP142_pos5ap2'!$A$1:$N$28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<sst xmlns="http://schemas.openxmlformats.org/spreadsheetml/2006/main" count="505" uniqueCount="189">
  <si>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</si>
  <si>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</si>
  <si>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</si>
  <si>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</si>
  <si>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</si>
  <si>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</si>
  <si>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</si>
  <si>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</si>
  <si>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</si>
  <si>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</si>
  <si>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</si>
  <si>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</si>
  <si>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</si>
  <si>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</si>
  <si>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</si>
  <si>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hcmqap142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</si>
  <si>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</si>
  <si>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</si>
  <si>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</si>
  <si>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</si>
  <si>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</si>
  <si>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</si>
  <si>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</si>
  <si>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</si>
  <si>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</si>
  <si>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</si>
  <si>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</si>
  <si>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</si>
  <si>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</si>
  <si>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</si>
  <si>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</si>
  <si>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</si>
  <si>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</si>
  <si>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</si>
  <si>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</si>
  <si>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</si>
  <si>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</si>
  <si>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</si>
  <si>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</si>
  <si>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</si>
  <si>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</si>
  <si>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</si>
  <si>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</si>
  <si>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</si>
  <si>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</si>
  <si>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</si>
  <si>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</si>
  <si>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</si>
  <si>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</si>
  <si>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</si>
  <si>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</si>
  <si>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</si>
  <si>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</si>
  <si>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</si>
  <si>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</si>
  <si>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</si>
  <si>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</si>
  <si>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</si>
  <si>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</si>
  <si>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</si>
  <si>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</si>
  <si>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</si>
  <si>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</si>
  <si>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</si>
  <si>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</si>
  <si>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</si>
  <si>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</si>
  <si>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</si>
  <si>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HCMQAP142_pos1ap2</t>
  </si>
  <si>
    <t>±12.5</t>
  </si>
  <si>
    <t>THCMQAP142_pos1ap2.xls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</si>
  <si>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-3.752 mT)</t>
    </r>
  </si>
  <si>
    <t>HCMQAP142_pos2ap2</t>
  </si>
  <si>
    <t>THCMQAP142_pos2ap2.xls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</si>
  <si>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-3.753 mT)</t>
    </r>
  </si>
  <si>
    <t>HCMQAP142_pos3ap2</t>
  </si>
  <si>
    <t>THCMQAP142_pos3ap2.xls</t>
  </si>
  <si>
    <t>HCMQAP142_pos4ap2</t>
  </si>
  <si>
    <t>THCMQAP142_pos4ap2.xls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</si>
  <si>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 mT)</t>
    </r>
  </si>
  <si>
    <t>HCMQAP142_pos5ap2</t>
  </si>
  <si>
    <t>THCMQAP142_pos5ap2.xls</t>
  </si>
  <si>
    <t>Sommaire : Valeurs intégrales calculées avec les fichiers: HCMQAP142_pos1ap2+HCMQAP142_pos2ap2+HCMQAP142_pos3ap2+HCMQAP142_pos4ap2+HCMQAP142_pos5ap2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</si>
  <si>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</si>
  <si>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</si>
  <si>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</si>
  <si>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</si>
  <si>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</si>
  <si>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</si>
  <si>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</si>
  <si>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</si>
  <si>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</si>
  <si>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</si>
  <si>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</si>
  <si>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</si>
  <si>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</si>
  <si>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</si>
  <si>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</si>
  <si>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</si>
  <si>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</si>
  <si>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</si>
  <si>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</si>
  <si>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</si>
  <si>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</si>
  <si>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</si>
  <si>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</si>
  <si>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</si>
  <si>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</si>
  <si>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</si>
  <si>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</si>
  <si>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</si>
  <si>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</si>
  <si>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</si>
  <si>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</si>
  <si>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</si>
  <si>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</si>
  <si>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</si>
  <si>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</si>
  <si>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</si>
  <si>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</si>
  <si>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</si>
  <si>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</si>
  <si>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</si>
  <si>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</si>
  <si>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</si>
  <si>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</si>
  <si>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=-3.753</t>
    </r>
  </si>
  <si>
    <t>Gradient (T/m)</t>
  </si>
  <si>
    <t xml:space="preserve"> Wed 03/12/2003       07:29:22</t>
  </si>
  <si>
    <t>SIEGMUND</t>
  </si>
  <si>
    <t>HCMQAP142</t>
  </si>
  <si>
    <t>Aperture2</t>
  </si>
  <si>
    <t>Position</t>
  </si>
  <si>
    <t>Integrales</t>
  </si>
  <si>
    <t>Cn (T)</t>
  </si>
  <si>
    <t>Angle (Horiz,Cn)</t>
  </si>
  <si>
    <t>b1</t>
  </si>
  <si>
    <t>b2</t>
  </si>
  <si>
    <t>a1</t>
  </si>
  <si>
    <t>a2</t>
  </si>
  <si>
    <t>a3*!</t>
  </si>
  <si>
    <t>a4*</t>
  </si>
  <si>
    <t>Temp taupe (deg)</t>
  </si>
  <si>
    <t>Niv init (mrad)</t>
  </si>
  <si>
    <t>Dx moy (mm)</t>
  </si>
  <si>
    <t>Dy moy (mm)</t>
  </si>
  <si>
    <t>C2 centre (T)</t>
  </si>
  <si>
    <t>Long. Mag. (m)</t>
  </si>
  <si>
    <t>* = Integral error  ! = Central error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</si>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</sst>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3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5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3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0" fillId="0" borderId="66" xfId="0" applyNumberFormat="1" applyFont="1" applyBorder="1" applyAlignment="1">
      <alignment horizontal="center"/>
    </xf>
    <xf numFmtId="179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42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5086923"/>
        <c:axId val="24455716"/>
      </c:lineChart>
      <c:catAx>
        <c:axId val="250869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4455716"/>
        <c:crosses val="autoZero"/>
        <c:auto val="1"/>
        <c:lblOffset val="100"/>
        <c:noMultiLvlLbl val="0"/>
      </c:catAx>
      <c:valAx>
        <c:axId val="24455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508692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37692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2755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37692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2755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37692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2755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37692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2755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37692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80</v>
      </c>
      <c r="H6" s="25">
        <v>2755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3.83599349E-05</v>
      </c>
      <c r="L2" s="55">
        <v>2.4325498548100755E-07</v>
      </c>
      <c r="M2" s="55">
        <v>8.2094868E-05</v>
      </c>
      <c r="N2" s="56">
        <v>1.684381137844421E-07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-3.1246191100000006E-05</v>
      </c>
      <c r="L3" s="55">
        <v>6.460887743710362E-07</v>
      </c>
      <c r="M3" s="55">
        <v>1.4348939999999999E-05</v>
      </c>
      <c r="N3" s="56">
        <v>1.094711105187133E-06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-0.002259502896466874</v>
      </c>
      <c r="L4" s="55">
        <v>2.73815001643241E-05</v>
      </c>
      <c r="M4" s="55">
        <v>5.651601189169576E-08</v>
      </c>
      <c r="N4" s="56">
        <v>-6.0588902</v>
      </c>
    </row>
    <row r="5" spans="1:14" ht="15" customHeight="1" thickBot="1">
      <c r="A5" t="s">
        <v>18</v>
      </c>
      <c r="B5" s="59">
        <v>37958.290717592594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2755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0.53986722</v>
      </c>
      <c r="E8" s="78">
        <v>0.012478741690353089</v>
      </c>
      <c r="F8" s="78">
        <v>-4.7737020999999995</v>
      </c>
      <c r="G8" s="78">
        <v>0.01801908266377524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0.05094896000000001</v>
      </c>
      <c r="E9" s="80">
        <v>0.028502464672855925</v>
      </c>
      <c r="F9" s="80">
        <v>0.1510650287</v>
      </c>
      <c r="G9" s="80">
        <v>0.023620707656776607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-0.21260037</v>
      </c>
      <c r="E10" s="80">
        <v>0.010639497250265502</v>
      </c>
      <c r="F10" s="80">
        <v>0.37524977</v>
      </c>
      <c r="G10" s="80">
        <v>0.010243868581040224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4.4805169</v>
      </c>
      <c r="E11" s="78">
        <v>0.01013855854349129</v>
      </c>
      <c r="F11" s="78">
        <v>0.61374134</v>
      </c>
      <c r="G11" s="78">
        <v>0.010876078732677371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0.01098067368</v>
      </c>
      <c r="E12" s="80">
        <v>0.007761622690908036</v>
      </c>
      <c r="F12" s="80">
        <v>-0.18125063</v>
      </c>
      <c r="G12" s="80">
        <v>0.0017101153015521308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18.502808</v>
      </c>
      <c r="D13" s="83">
        <v>-0.00932758</v>
      </c>
      <c r="E13" s="80">
        <v>0.00914161396421496</v>
      </c>
      <c r="F13" s="80">
        <v>-0.28089648</v>
      </c>
      <c r="G13" s="80">
        <v>0.004632562596835993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-0.098919285</v>
      </c>
      <c r="E14" s="80">
        <v>0.00515507102036924</v>
      </c>
      <c r="F14" s="80">
        <v>0.087536112</v>
      </c>
      <c r="G14" s="80">
        <v>0.0007873912980190299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-0.35000208</v>
      </c>
      <c r="E15" s="78">
        <v>0.0036647191990112973</v>
      </c>
      <c r="F15" s="78">
        <v>0.10543001700000001</v>
      </c>
      <c r="G15" s="78">
        <v>0.00479590093802244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12.514100000000001</v>
      </c>
      <c r="D16" s="83">
        <v>-0.0009999096000000002</v>
      </c>
      <c r="E16" s="80">
        <v>0.002010136897107419</v>
      </c>
      <c r="F16" s="80">
        <v>-0.00022896050000000036</v>
      </c>
      <c r="G16" s="80">
        <v>0.0034365558714687877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0.45899999141693115</v>
      </c>
      <c r="D17" s="83">
        <v>-0.021405285000000003</v>
      </c>
      <c r="E17" s="80">
        <v>0.0027899424262159806</v>
      </c>
      <c r="F17" s="80">
        <v>-0.008102398</v>
      </c>
      <c r="G17" s="80">
        <v>0.0027373007400313155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5.085999965667725</v>
      </c>
      <c r="D18" s="83">
        <v>0.024615526800000002</v>
      </c>
      <c r="E18" s="80">
        <v>0.0013453988448560255</v>
      </c>
      <c r="F18" s="80">
        <v>0.07373496799999998</v>
      </c>
      <c r="G18" s="80">
        <v>0.0017669105215903748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0.36399999260902405</v>
      </c>
      <c r="D19" s="86">
        <v>-0.19112602</v>
      </c>
      <c r="E19" s="80">
        <v>0.001014529893394547</v>
      </c>
      <c r="F19" s="80">
        <v>0.010821847700000001</v>
      </c>
      <c r="G19" s="80">
        <v>0.0022836148437158656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0.29606659999999996</v>
      </c>
      <c r="D20" s="88">
        <v>-0.00417290354</v>
      </c>
      <c r="E20" s="89">
        <v>0.0008774313833132146</v>
      </c>
      <c r="F20" s="89">
        <v>-0.0011600579999999998</v>
      </c>
      <c r="G20" s="89">
        <v>0.0016067214448659745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0.6140647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-0.3471491302175013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-2.2596688</v>
      </c>
      <c r="I25" s="101" t="s">
        <v>49</v>
      </c>
      <c r="J25" s="102"/>
      <c r="K25" s="101"/>
      <c r="L25" s="104">
        <v>4.522356700174214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4.804132424775043</v>
      </c>
      <c r="I26" s="106" t="s">
        <v>53</v>
      </c>
      <c r="J26" s="107"/>
      <c r="K26" s="106"/>
      <c r="L26" s="109">
        <v>0.36553651594464087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HCMQAP142_pos1ap2res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6.7296524E-05</v>
      </c>
      <c r="L2" s="55">
        <v>1.5761204117613337E-07</v>
      </c>
      <c r="M2" s="55">
        <v>7.668916099999999E-05</v>
      </c>
      <c r="N2" s="56">
        <v>1.271834696229749E-07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-2.9291799999999996E-05</v>
      </c>
      <c r="L3" s="55">
        <v>1.1037110799451868E-07</v>
      </c>
      <c r="M3" s="55">
        <v>1.3474864999999996E-05</v>
      </c>
      <c r="N3" s="56">
        <v>2.3098855166436946E-07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-0.0037522870857143076</v>
      </c>
      <c r="L4" s="55">
        <v>1.5620721039435796E-05</v>
      </c>
      <c r="M4" s="55">
        <v>7.782506973901005E-08</v>
      </c>
      <c r="N4" s="56">
        <v>-2.0814813</v>
      </c>
    </row>
    <row r="5" spans="1:14" ht="15" customHeight="1" thickBot="1">
      <c r="A5" t="s">
        <v>18</v>
      </c>
      <c r="B5" s="59">
        <v>37958.29524305555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2755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1.9304191</v>
      </c>
      <c r="E8" s="78">
        <v>0.004191544731962754</v>
      </c>
      <c r="F8" s="114">
        <v>-5.7338477</v>
      </c>
      <c r="G8" s="78">
        <v>0.02332710527605781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0.7123310999999999</v>
      </c>
      <c r="E9" s="80">
        <v>0.013502665989466336</v>
      </c>
      <c r="F9" s="115">
        <v>-3.3186902000000003</v>
      </c>
      <c r="G9" s="80">
        <v>0.014508158048408555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-0.75124022</v>
      </c>
      <c r="E10" s="80">
        <v>0.006375461434557338</v>
      </c>
      <c r="F10" s="80">
        <v>-0.90730948</v>
      </c>
      <c r="G10" s="80">
        <v>0.005144365715091389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3.3265797</v>
      </c>
      <c r="E11" s="78">
        <v>0.005267681962693806</v>
      </c>
      <c r="F11" s="78">
        <v>0.48857379000000006</v>
      </c>
      <c r="G11" s="78">
        <v>0.005830668384530082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-0.16660747</v>
      </c>
      <c r="E12" s="80">
        <v>0.0035761422745180615</v>
      </c>
      <c r="F12" s="80">
        <v>-0.128988806</v>
      </c>
      <c r="G12" s="80">
        <v>0.0025473537537504254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18.695069</v>
      </c>
      <c r="D13" s="83">
        <v>0.16775583</v>
      </c>
      <c r="E13" s="80">
        <v>0.0028916011532721534</v>
      </c>
      <c r="F13" s="80">
        <v>-0.21828521999999997</v>
      </c>
      <c r="G13" s="80">
        <v>0.0023818901338261145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-0.09053799700000001</v>
      </c>
      <c r="E14" s="80">
        <v>0.0011111779510523173</v>
      </c>
      <c r="F14" s="80">
        <v>-0.07193483199999999</v>
      </c>
      <c r="G14" s="80">
        <v>0.0014098383800628007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-0.11492319399999999</v>
      </c>
      <c r="E15" s="78">
        <v>0.0028288510578353583</v>
      </c>
      <c r="F15" s="78">
        <v>0.049393661</v>
      </c>
      <c r="G15" s="78">
        <v>0.002246333143392629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12.514499999999998</v>
      </c>
      <c r="D16" s="83">
        <v>-0.0034821967999999993</v>
      </c>
      <c r="E16" s="80">
        <v>0.0011176989736432909</v>
      </c>
      <c r="F16" s="80">
        <v>0.036847848</v>
      </c>
      <c r="G16" s="80">
        <v>0.0017153526588972866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-0.32499998807907104</v>
      </c>
      <c r="D17" s="83">
        <v>-0.005221252</v>
      </c>
      <c r="E17" s="80">
        <v>0.0010040429379095325</v>
      </c>
      <c r="F17" s="80">
        <v>0.0127813852</v>
      </c>
      <c r="G17" s="80">
        <v>0.002550115296548897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35.095001220703125</v>
      </c>
      <c r="D18" s="83">
        <v>0.04266944499999999</v>
      </c>
      <c r="E18" s="80">
        <v>0.0011130183298447296</v>
      </c>
      <c r="F18" s="80">
        <v>0.029128285999999996</v>
      </c>
      <c r="G18" s="80">
        <v>0.0013667924152643797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-0.39500001072883606</v>
      </c>
      <c r="D19" s="86">
        <v>-0.16356046000000002</v>
      </c>
      <c r="E19" s="80">
        <v>0.0005388521025288758</v>
      </c>
      <c r="F19" s="80">
        <v>0.019855795000000002</v>
      </c>
      <c r="G19" s="80">
        <v>0.0012978331739017797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0.30633790000000005</v>
      </c>
      <c r="D20" s="88">
        <v>-0.00022920170000000008</v>
      </c>
      <c r="E20" s="89">
        <v>0.0007580480305389361</v>
      </c>
      <c r="F20" s="89">
        <v>-0.000684714888</v>
      </c>
      <c r="G20" s="89">
        <v>0.0009073454657236948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0.346164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-0.11926019436018068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-3.7523196000000003</v>
      </c>
      <c r="I25" s="101" t="s">
        <v>49</v>
      </c>
      <c r="J25" s="102"/>
      <c r="K25" s="101"/>
      <c r="L25" s="104">
        <v>3.3622666236821632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6.050084904233998</v>
      </c>
      <c r="I26" s="106" t="s">
        <v>53</v>
      </c>
      <c r="J26" s="107"/>
      <c r="K26" s="106"/>
      <c r="L26" s="109">
        <v>0.12508826590110103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HCMQAP142_pos2ap2res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5.502322500000001E-05</v>
      </c>
      <c r="L2" s="55">
        <v>1.6984611811762448E-07</v>
      </c>
      <c r="M2" s="55">
        <v>4.6392526E-05</v>
      </c>
      <c r="N2" s="56">
        <v>1.263567568977346E-07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-2.8010311000000002E-05</v>
      </c>
      <c r="L3" s="55">
        <v>1.1846068353664313E-07</v>
      </c>
      <c r="M3" s="55">
        <v>1.1046330000000002E-05</v>
      </c>
      <c r="N3" s="56">
        <v>9.607218374714952E-08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-0.0037525374666599084</v>
      </c>
      <c r="L4" s="55">
        <v>-1.6738904046373107E-05</v>
      </c>
      <c r="M4" s="55">
        <v>3.919263889441413E-08</v>
      </c>
      <c r="N4" s="56">
        <v>2.2303299</v>
      </c>
    </row>
    <row r="5" spans="1:14" ht="15" customHeight="1" thickBot="1">
      <c r="A5" t="s">
        <v>18</v>
      </c>
      <c r="B5" s="59">
        <v>37958.299780092595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2755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0.13621772000000001</v>
      </c>
      <c r="E8" s="78">
        <v>0.010088680861470491</v>
      </c>
      <c r="F8" s="78">
        <v>-3.4719472</v>
      </c>
      <c r="G8" s="78">
        <v>0.015994844840190436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0.6348290500000001</v>
      </c>
      <c r="E9" s="80">
        <v>0.008497979469024156</v>
      </c>
      <c r="F9" s="80">
        <v>-2.3956885</v>
      </c>
      <c r="G9" s="80">
        <v>0.006270563738684948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-0.136620707</v>
      </c>
      <c r="E10" s="80">
        <v>0.0023173406858643434</v>
      </c>
      <c r="F10" s="80">
        <v>-0.47384222</v>
      </c>
      <c r="G10" s="80">
        <v>0.004967453674132103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3.2752382999999994</v>
      </c>
      <c r="E11" s="78">
        <v>0.0023448347838989337</v>
      </c>
      <c r="F11" s="78">
        <v>0.5186678</v>
      </c>
      <c r="G11" s="78">
        <v>0.003080553813509344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-0.25252212999999996</v>
      </c>
      <c r="E12" s="80">
        <v>0.00272861356674299</v>
      </c>
      <c r="F12" s="80">
        <v>-0.126968704</v>
      </c>
      <c r="G12" s="80">
        <v>0.003443309608956673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18.872071</v>
      </c>
      <c r="D13" s="83">
        <v>0.0436366091</v>
      </c>
      <c r="E13" s="80">
        <v>0.004068151627346616</v>
      </c>
      <c r="F13" s="80">
        <v>-0.26780199000000005</v>
      </c>
      <c r="G13" s="80">
        <v>0.0007583685149014015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-0.09056137300000001</v>
      </c>
      <c r="E14" s="80">
        <v>0.0014448739309038251</v>
      </c>
      <c r="F14" s="80">
        <v>-0.0046715302</v>
      </c>
      <c r="G14" s="80">
        <v>0.002440533677869873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-0.09461338700000001</v>
      </c>
      <c r="E15" s="78">
        <v>0.0027462987271556164</v>
      </c>
      <c r="F15" s="78">
        <v>0.031665565699999995</v>
      </c>
      <c r="G15" s="78">
        <v>0.0017540843032898873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12.5148</v>
      </c>
      <c r="D16" s="83">
        <v>0.028801506000000004</v>
      </c>
      <c r="E16" s="80">
        <v>0.0007745647447526104</v>
      </c>
      <c r="F16" s="80">
        <v>0.008899129</v>
      </c>
      <c r="G16" s="80">
        <v>0.0008332105614994299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0.46700000762939453</v>
      </c>
      <c r="D17" s="83">
        <v>-0.0034612949999999988</v>
      </c>
      <c r="E17" s="80">
        <v>0.0008679113987095706</v>
      </c>
      <c r="F17" s="80">
        <v>-0.02178007263</v>
      </c>
      <c r="G17" s="80">
        <v>0.0018109278577864226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0.5090000033378601</v>
      </c>
      <c r="D18" s="83">
        <v>0.0236178932</v>
      </c>
      <c r="E18" s="80">
        <v>0.001316715595272153</v>
      </c>
      <c r="F18" s="80">
        <v>0.017747753999999998</v>
      </c>
      <c r="G18" s="80">
        <v>0.0007527318966564282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0.3889999985694885</v>
      </c>
      <c r="D19" s="86">
        <v>-0.16794498</v>
      </c>
      <c r="E19" s="80">
        <v>0.000337365839414234</v>
      </c>
      <c r="F19" s="80">
        <v>0.016516454000000003</v>
      </c>
      <c r="G19" s="80">
        <v>0.001270134721044786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0.2483269</v>
      </c>
      <c r="D20" s="88">
        <v>0.0021848259699999996</v>
      </c>
      <c r="E20" s="89">
        <v>0.0007571602844528852</v>
      </c>
      <c r="F20" s="89">
        <v>-0.00159224891</v>
      </c>
      <c r="G20" s="89">
        <v>0.0005776262457896131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0.211272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0.12778859813024615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-3.7525747999999997</v>
      </c>
      <c r="I25" s="101" t="s">
        <v>49</v>
      </c>
      <c r="J25" s="102"/>
      <c r="K25" s="101"/>
      <c r="L25" s="104">
        <v>3.3160522023248857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3.474618342614025</v>
      </c>
      <c r="I26" s="106" t="s">
        <v>53</v>
      </c>
      <c r="J26" s="107"/>
      <c r="K26" s="106"/>
      <c r="L26" s="109">
        <v>0.09977174475127107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HCMQAP142_pos3ap2res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7.785695300000001E-05</v>
      </c>
      <c r="L2" s="55">
        <v>1.3313927026654622E-07</v>
      </c>
      <c r="M2" s="55">
        <v>0.000104291804</v>
      </c>
      <c r="N2" s="56">
        <v>2.733289282607486E-07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-2.8373967E-05</v>
      </c>
      <c r="L3" s="55">
        <v>8.545935294624566E-08</v>
      </c>
      <c r="M3" s="55">
        <v>9.380416000000001E-06</v>
      </c>
      <c r="N3" s="56">
        <v>1.954112678020094E-07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-0.0037524463940694372</v>
      </c>
      <c r="L4" s="55">
        <v>-4.483220401582435E-05</v>
      </c>
      <c r="M4" s="55">
        <v>4.7041010129916584E-08</v>
      </c>
      <c r="N4" s="56">
        <v>5.9734459</v>
      </c>
    </row>
    <row r="5" spans="1:14" ht="15" customHeight="1" thickBot="1">
      <c r="A5" t="s">
        <v>18</v>
      </c>
      <c r="B5" s="59">
        <v>37958.30395833333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2755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0.5970970000000001</v>
      </c>
      <c r="E8" s="78">
        <v>0.012088928767719399</v>
      </c>
      <c r="F8" s="78">
        <v>-3.4941613000000005</v>
      </c>
      <c r="G8" s="78">
        <v>0.01651099934163936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0.40369837999999997</v>
      </c>
      <c r="E9" s="80">
        <v>0.00882052879240468</v>
      </c>
      <c r="F9" s="80">
        <v>-2.1347367999999998</v>
      </c>
      <c r="G9" s="80">
        <v>0.012573127334128053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-0.42487886</v>
      </c>
      <c r="E10" s="80">
        <v>0.002771231487693254</v>
      </c>
      <c r="F10" s="80">
        <v>-0.32020108</v>
      </c>
      <c r="G10" s="80">
        <v>0.006704912959956666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2.8807227</v>
      </c>
      <c r="E11" s="78">
        <v>0.0005863461935257347</v>
      </c>
      <c r="F11" s="78">
        <v>0.21593435999999996</v>
      </c>
      <c r="G11" s="78">
        <v>0.004681955169842247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-0.15496246</v>
      </c>
      <c r="E12" s="80">
        <v>0.003800923990742451</v>
      </c>
      <c r="F12" s="80">
        <v>-0.005616152399999999</v>
      </c>
      <c r="G12" s="80">
        <v>0.004794471585480995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19.030762</v>
      </c>
      <c r="D13" s="83">
        <v>-0.050180241752</v>
      </c>
      <c r="E13" s="80">
        <v>0.002062274179619187</v>
      </c>
      <c r="F13" s="80">
        <v>-0.22670892999999998</v>
      </c>
      <c r="G13" s="80">
        <v>0.002209096421075592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-0.14523403</v>
      </c>
      <c r="E14" s="80">
        <v>0.003898071398859255</v>
      </c>
      <c r="F14" s="80">
        <v>-0.015022120699999999</v>
      </c>
      <c r="G14" s="80">
        <v>0.0019719431668014965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-0.14607212</v>
      </c>
      <c r="E15" s="78">
        <v>0.002799991391523432</v>
      </c>
      <c r="F15" s="78">
        <v>0.0293032864</v>
      </c>
      <c r="G15" s="78">
        <v>0.0020959835967520714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</v>
      </c>
      <c r="D16" s="83">
        <v>0.029001917</v>
      </c>
      <c r="E16" s="80">
        <v>0.002036784471805034</v>
      </c>
      <c r="F16" s="80">
        <v>-0.0079956568</v>
      </c>
      <c r="G16" s="80">
        <v>0.0022579574525886346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0.5709999799728394</v>
      </c>
      <c r="D17" s="83">
        <v>-0.007418554000000001</v>
      </c>
      <c r="E17" s="80">
        <v>0.0014661735789578245</v>
      </c>
      <c r="F17" s="80">
        <v>-0.013781365700000001</v>
      </c>
      <c r="G17" s="80">
        <v>0.0015066110556964671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32.042999267578125</v>
      </c>
      <c r="D18" s="83">
        <v>0.02784744</v>
      </c>
      <c r="E18" s="80">
        <v>0.0009062836025328035</v>
      </c>
      <c r="F18" s="80">
        <v>0.039340208</v>
      </c>
      <c r="G18" s="80">
        <v>0.0008931428113667166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0.49300000071525574</v>
      </c>
      <c r="D19" s="86">
        <v>-0.15632065</v>
      </c>
      <c r="E19" s="80">
        <v>0.0017418466531230724</v>
      </c>
      <c r="F19" s="80">
        <v>0.0154100565</v>
      </c>
      <c r="G19" s="80">
        <v>0.0010940857883225234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0.34703</v>
      </c>
      <c r="D20" s="88">
        <v>0.0040012853</v>
      </c>
      <c r="E20" s="89">
        <v>0.000394989553345729</v>
      </c>
      <c r="F20" s="89">
        <v>-0.00300662931</v>
      </c>
      <c r="G20" s="89">
        <v>0.00040963257923380957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0.476623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0.34225352830891365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-3.7527141999999998</v>
      </c>
      <c r="I25" s="101" t="s">
        <v>49</v>
      </c>
      <c r="J25" s="102"/>
      <c r="K25" s="101"/>
      <c r="L25" s="104">
        <v>2.8888044104999393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3.544811422040204</v>
      </c>
      <c r="I26" s="106" t="s">
        <v>53</v>
      </c>
      <c r="J26" s="107"/>
      <c r="K26" s="106"/>
      <c r="L26" s="109">
        <v>0.14898237088707786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HCMQAP142_pos4ap2res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4.3719222999999996E-05</v>
      </c>
      <c r="L2" s="55">
        <v>1.9004045868104725E-07</v>
      </c>
      <c r="M2" s="55">
        <v>8.5515458E-05</v>
      </c>
      <c r="N2" s="56">
        <v>1.78796437874099E-07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-3.0228914999999996E-05</v>
      </c>
      <c r="L3" s="55">
        <v>1.7949290593252833E-07</v>
      </c>
      <c r="M3" s="55">
        <v>8.597767999999998E-06</v>
      </c>
      <c r="N3" s="56">
        <v>1.1528779846973211E-07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-0.0020795325549309704</v>
      </c>
      <c r="L4" s="55">
        <v>-3.616485021774182E-05</v>
      </c>
      <c r="M4" s="55">
        <v>6.62759369510074E-08</v>
      </c>
      <c r="N4" s="56">
        <v>8.6945513</v>
      </c>
    </row>
    <row r="5" spans="1:14" ht="15" customHeight="1" thickBot="1">
      <c r="A5" t="s">
        <v>18</v>
      </c>
      <c r="B5" s="59">
        <v>37958.308530092596</v>
      </c>
      <c r="D5" s="60"/>
      <c r="E5" s="61" t="s">
        <v>79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2755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116">
        <v>-6.2979968</v>
      </c>
      <c r="E8" s="78">
        <v>0.011978277149172349</v>
      </c>
      <c r="F8" s="78">
        <v>3.9181785</v>
      </c>
      <c r="G8" s="78">
        <v>0.019857436876408598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-2.5281917</v>
      </c>
      <c r="E9" s="80">
        <v>0.020284036379883564</v>
      </c>
      <c r="F9" s="80">
        <v>0.3017254</v>
      </c>
      <c r="G9" s="80">
        <v>0.03133800552658085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-0.48294441</v>
      </c>
      <c r="E10" s="80">
        <v>0.012231115828632752</v>
      </c>
      <c r="F10" s="80">
        <v>-1.0558208900000001</v>
      </c>
      <c r="G10" s="80">
        <v>0.008810427756668265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14.612092</v>
      </c>
      <c r="E11" s="78">
        <v>0.012149614642429842</v>
      </c>
      <c r="F11" s="114">
        <v>2.2383043999999996</v>
      </c>
      <c r="G11" s="78">
        <v>0.011260468886412469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-0.48318000000000005</v>
      </c>
      <c r="E12" s="80">
        <v>0.005382506718431152</v>
      </c>
      <c r="F12" s="80">
        <v>0.26248091999999995</v>
      </c>
      <c r="G12" s="80">
        <v>0.008040709705592597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19.201661</v>
      </c>
      <c r="D13" s="83">
        <v>-0.20212687000000001</v>
      </c>
      <c r="E13" s="80">
        <v>0.0050686188483236895</v>
      </c>
      <c r="F13" s="80">
        <v>0.26493880999999997</v>
      </c>
      <c r="G13" s="80">
        <v>0.0035621136902704315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-0.21661932</v>
      </c>
      <c r="E14" s="80">
        <v>0.004200485665801614</v>
      </c>
      <c r="F14" s="80">
        <v>-0.12521444999999998</v>
      </c>
      <c r="G14" s="80">
        <v>0.005885354761209715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-0.36861288999999997</v>
      </c>
      <c r="E15" s="78">
        <v>0.0033289211769582773</v>
      </c>
      <c r="F15" s="78">
        <v>0.39308739000000004</v>
      </c>
      <c r="G15" s="78">
        <v>0.0024022041908095147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</v>
      </c>
      <c r="D16" s="83">
        <v>0.0352062262</v>
      </c>
      <c r="E16" s="80">
        <v>0.004977702584869013</v>
      </c>
      <c r="F16" s="80">
        <v>0.037730392</v>
      </c>
      <c r="G16" s="80">
        <v>0.0025709310350894086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0.46000000834465027</v>
      </c>
      <c r="D17" s="83">
        <v>-0.008259912</v>
      </c>
      <c r="E17" s="80">
        <v>0.002848425630564366</v>
      </c>
      <c r="F17" s="80">
        <v>0.0355795058</v>
      </c>
      <c r="G17" s="80">
        <v>0.003903677457120746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4.068999767303467</v>
      </c>
      <c r="D18" s="83">
        <v>0.0053846632</v>
      </c>
      <c r="E18" s="80">
        <v>0.0018029687350248087</v>
      </c>
      <c r="F18" s="80">
        <v>0.038783735</v>
      </c>
      <c r="G18" s="80">
        <v>0.0009422474269747748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0.3790000081062317</v>
      </c>
      <c r="D19" s="83">
        <v>-0.13024892999999998</v>
      </c>
      <c r="E19" s="80">
        <v>0.002219464822113863</v>
      </c>
      <c r="F19" s="80">
        <v>-0.0031243110000000003</v>
      </c>
      <c r="G19" s="80">
        <v>0.0009767844233379232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0.34515339999999994</v>
      </c>
      <c r="D20" s="88">
        <v>0.0021052905</v>
      </c>
      <c r="E20" s="89">
        <v>0.0012918730615046514</v>
      </c>
      <c r="F20" s="89">
        <v>0.0020174222500000004</v>
      </c>
      <c r="G20" s="89">
        <v>0.0007257702433583229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0.7050649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0.498161515029014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-2.079847</v>
      </c>
      <c r="I25" s="101" t="s">
        <v>49</v>
      </c>
      <c r="J25" s="102"/>
      <c r="K25" s="101"/>
      <c r="L25" s="104">
        <v>14.782531555979286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7.417336883994989</v>
      </c>
      <c r="I26" s="106" t="s">
        <v>53</v>
      </c>
      <c r="J26" s="107"/>
      <c r="K26" s="106"/>
      <c r="L26" s="109">
        <v>0.5388813959037408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HCMQAP142_pos5ap2res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119</v>
      </c>
      <c r="B1" s="132" t="s">
        <v>68</v>
      </c>
      <c r="C1" s="122" t="s">
        <v>72</v>
      </c>
      <c r="D1" s="122" t="s">
        <v>75</v>
      </c>
      <c r="E1" s="122" t="s">
        <v>77</v>
      </c>
      <c r="F1" s="129" t="s">
        <v>80</v>
      </c>
      <c r="G1" s="162" t="s">
        <v>120</v>
      </c>
    </row>
    <row r="2" spans="1:7" ht="13.5" thickBot="1">
      <c r="A2" s="141" t="s">
        <v>89</v>
      </c>
      <c r="B2" s="133">
        <v>-2.2596688</v>
      </c>
      <c r="C2" s="124">
        <v>-3.7523196000000003</v>
      </c>
      <c r="D2" s="124">
        <v>-3.7525747999999997</v>
      </c>
      <c r="E2" s="124">
        <v>-3.7527141999999998</v>
      </c>
      <c r="F2" s="130">
        <v>-2.079847</v>
      </c>
      <c r="G2" s="163">
        <v>3.1169009342428198</v>
      </c>
    </row>
    <row r="3" spans="1:7" ht="14.25" thickBot="1" thickTop="1">
      <c r="A3" s="149" t="s">
        <v>88</v>
      </c>
      <c r="B3" s="150" t="s">
        <v>83</v>
      </c>
      <c r="C3" s="151" t="s">
        <v>84</v>
      </c>
      <c r="D3" s="151" t="s">
        <v>85</v>
      </c>
      <c r="E3" s="151" t="s">
        <v>86</v>
      </c>
      <c r="F3" s="152" t="s">
        <v>87</v>
      </c>
      <c r="G3" s="158" t="s">
        <v>121</v>
      </c>
    </row>
    <row r="4" spans="1:7" ht="12.75">
      <c r="A4" s="146" t="s">
        <v>90</v>
      </c>
      <c r="B4" s="147">
        <v>0.53986722</v>
      </c>
      <c r="C4" s="148">
        <v>1.9304191</v>
      </c>
      <c r="D4" s="148">
        <v>0.13621772000000001</v>
      </c>
      <c r="E4" s="148">
        <v>0.5970970000000001</v>
      </c>
      <c r="F4" s="153">
        <v>-6.2979968</v>
      </c>
      <c r="G4" s="159">
        <v>-0.12075928804579174</v>
      </c>
    </row>
    <row r="5" spans="1:7" ht="12.75">
      <c r="A5" s="141" t="s">
        <v>92</v>
      </c>
      <c r="B5" s="135">
        <v>0.05094896000000001</v>
      </c>
      <c r="C5" s="119">
        <v>0.7123310999999999</v>
      </c>
      <c r="D5" s="119">
        <v>0.6348290500000001</v>
      </c>
      <c r="E5" s="119">
        <v>0.40369837999999997</v>
      </c>
      <c r="F5" s="154">
        <v>-2.5281917</v>
      </c>
      <c r="G5" s="160">
        <v>0.09148980945071153</v>
      </c>
    </row>
    <row r="6" spans="1:7" ht="12.75">
      <c r="A6" s="141" t="s">
        <v>94</v>
      </c>
      <c r="B6" s="135">
        <v>-0.21260037</v>
      </c>
      <c r="C6" s="119">
        <v>-0.75124022</v>
      </c>
      <c r="D6" s="119">
        <v>-0.136620707</v>
      </c>
      <c r="E6" s="119">
        <v>-0.42487886</v>
      </c>
      <c r="F6" s="154">
        <v>-0.48294441</v>
      </c>
      <c r="G6" s="160">
        <v>-0.4110295267328401</v>
      </c>
    </row>
    <row r="7" spans="1:7" ht="12.75">
      <c r="A7" s="141" t="s">
        <v>96</v>
      </c>
      <c r="B7" s="134">
        <v>4.4805169</v>
      </c>
      <c r="C7" s="117">
        <v>3.3265797</v>
      </c>
      <c r="D7" s="117">
        <v>3.2752382999999994</v>
      </c>
      <c r="E7" s="117">
        <v>2.8807227</v>
      </c>
      <c r="F7" s="155">
        <v>14.612092</v>
      </c>
      <c r="G7" s="160">
        <v>4.879033718364522</v>
      </c>
    </row>
    <row r="8" spans="1:7" ht="12.75">
      <c r="A8" s="141" t="s">
        <v>98</v>
      </c>
      <c r="B8" s="135">
        <v>0.01098067368</v>
      </c>
      <c r="C8" s="119">
        <v>-0.16660747</v>
      </c>
      <c r="D8" s="119">
        <v>-0.25252212999999996</v>
      </c>
      <c r="E8" s="119">
        <v>-0.15496246</v>
      </c>
      <c r="F8" s="154">
        <v>-0.48318000000000005</v>
      </c>
      <c r="G8" s="160">
        <v>-0.2009620612193739</v>
      </c>
    </row>
    <row r="9" spans="1:7" ht="12.75">
      <c r="A9" s="141" t="s">
        <v>100</v>
      </c>
      <c r="B9" s="135">
        <v>-0.00932758</v>
      </c>
      <c r="C9" s="119">
        <v>0.16775583</v>
      </c>
      <c r="D9" s="119">
        <v>0.0436366091</v>
      </c>
      <c r="E9" s="119">
        <v>-0.050180241752</v>
      </c>
      <c r="F9" s="154">
        <v>-0.20212687000000001</v>
      </c>
      <c r="G9" s="160">
        <v>0.010478907067819586</v>
      </c>
    </row>
    <row r="10" spans="1:7" ht="12.75">
      <c r="A10" s="141" t="s">
        <v>102</v>
      </c>
      <c r="B10" s="135">
        <v>-0.098919285</v>
      </c>
      <c r="C10" s="119">
        <v>-0.09053799700000001</v>
      </c>
      <c r="D10" s="119">
        <v>-0.09056137300000001</v>
      </c>
      <c r="E10" s="119">
        <v>-0.14523403</v>
      </c>
      <c r="F10" s="154">
        <v>-0.21661932</v>
      </c>
      <c r="G10" s="160">
        <v>-0.12173061198653487</v>
      </c>
    </row>
    <row r="11" spans="1:7" ht="12.75">
      <c r="A11" s="141" t="s">
        <v>104</v>
      </c>
      <c r="B11" s="134">
        <v>-0.35000208</v>
      </c>
      <c r="C11" s="117">
        <v>-0.11492319399999999</v>
      </c>
      <c r="D11" s="117">
        <v>-0.09461338700000001</v>
      </c>
      <c r="E11" s="117">
        <v>-0.14607212</v>
      </c>
      <c r="F11" s="156">
        <v>-0.36861288999999997</v>
      </c>
      <c r="G11" s="160">
        <v>-0.18541792727040682</v>
      </c>
    </row>
    <row r="12" spans="1:7" ht="12.75">
      <c r="A12" s="141" t="s">
        <v>106</v>
      </c>
      <c r="B12" s="135">
        <v>-0.0009999096000000002</v>
      </c>
      <c r="C12" s="119">
        <v>-0.0034821967999999993</v>
      </c>
      <c r="D12" s="119">
        <v>0.028801506000000004</v>
      </c>
      <c r="E12" s="119">
        <v>0.029001917</v>
      </c>
      <c r="F12" s="154">
        <v>0.0352062262</v>
      </c>
      <c r="G12" s="160">
        <v>0.01761949757126537</v>
      </c>
    </row>
    <row r="13" spans="1:7" ht="12.75">
      <c r="A13" s="141" t="s">
        <v>108</v>
      </c>
      <c r="B13" s="135">
        <v>-0.021405285000000003</v>
      </c>
      <c r="C13" s="119">
        <v>-0.005221252</v>
      </c>
      <c r="D13" s="119">
        <v>-0.0034612949999999988</v>
      </c>
      <c r="E13" s="119">
        <v>-0.007418554000000001</v>
      </c>
      <c r="F13" s="154">
        <v>-0.008259912</v>
      </c>
      <c r="G13" s="160">
        <v>-0.0080763923002912</v>
      </c>
    </row>
    <row r="14" spans="1:7" ht="12.75">
      <c r="A14" s="141" t="s">
        <v>110</v>
      </c>
      <c r="B14" s="135">
        <v>0.024615526800000002</v>
      </c>
      <c r="C14" s="119">
        <v>0.04266944499999999</v>
      </c>
      <c r="D14" s="119">
        <v>0.0236178932</v>
      </c>
      <c r="E14" s="119">
        <v>0.02784744</v>
      </c>
      <c r="F14" s="154">
        <v>0.0053846632</v>
      </c>
      <c r="G14" s="160">
        <v>0.026932080036223577</v>
      </c>
    </row>
    <row r="15" spans="1:7" ht="12.75">
      <c r="A15" s="141" t="s">
        <v>112</v>
      </c>
      <c r="B15" s="136">
        <v>-0.19112602</v>
      </c>
      <c r="C15" s="120">
        <v>-0.16356046000000002</v>
      </c>
      <c r="D15" s="120">
        <v>-0.16794498</v>
      </c>
      <c r="E15" s="120">
        <v>-0.15632065</v>
      </c>
      <c r="F15" s="154">
        <v>-0.13024892999999998</v>
      </c>
      <c r="G15" s="160">
        <v>-0.1624250232409274</v>
      </c>
    </row>
    <row r="16" spans="1:7" ht="12.75">
      <c r="A16" s="141" t="s">
        <v>114</v>
      </c>
      <c r="B16" s="135">
        <v>-0.00417290354</v>
      </c>
      <c r="C16" s="119">
        <v>-0.00022920170000000008</v>
      </c>
      <c r="D16" s="119">
        <v>0.0021848259699999996</v>
      </c>
      <c r="E16" s="119">
        <v>0.0040012853</v>
      </c>
      <c r="F16" s="154">
        <v>0.0021052905</v>
      </c>
      <c r="G16" s="160">
        <v>0.001109413938220012</v>
      </c>
    </row>
    <row r="17" spans="1:7" ht="12.75">
      <c r="A17" s="141" t="s">
        <v>91</v>
      </c>
      <c r="B17" s="134">
        <v>-4.7737020999999995</v>
      </c>
      <c r="C17" s="118">
        <v>-5.7338477</v>
      </c>
      <c r="D17" s="117">
        <v>-3.4719472</v>
      </c>
      <c r="E17" s="117">
        <v>-3.4941613000000005</v>
      </c>
      <c r="F17" s="156">
        <v>3.9181785</v>
      </c>
      <c r="G17" s="160">
        <v>-3.2245901239686794</v>
      </c>
    </row>
    <row r="18" spans="1:7" ht="12.75">
      <c r="A18" s="141" t="s">
        <v>93</v>
      </c>
      <c r="B18" s="135">
        <v>0.1510650287</v>
      </c>
      <c r="C18" s="120">
        <v>-3.3186902000000003</v>
      </c>
      <c r="D18" s="119">
        <v>-2.3956885</v>
      </c>
      <c r="E18" s="119">
        <v>-2.1347367999999998</v>
      </c>
      <c r="F18" s="154">
        <v>0.3017254</v>
      </c>
      <c r="G18" s="160">
        <v>-1.8262946008189809</v>
      </c>
    </row>
    <row r="19" spans="1:7" ht="12.75">
      <c r="A19" s="141" t="s">
        <v>95</v>
      </c>
      <c r="B19" s="135">
        <v>0.37524977</v>
      </c>
      <c r="C19" s="119">
        <v>-0.90730948</v>
      </c>
      <c r="D19" s="119">
        <v>-0.47384222</v>
      </c>
      <c r="E19" s="119">
        <v>-0.32020108</v>
      </c>
      <c r="F19" s="154">
        <v>-1.0558208900000001</v>
      </c>
      <c r="G19" s="160">
        <v>-0.4957498686050651</v>
      </c>
    </row>
    <row r="20" spans="1:7" ht="12.75">
      <c r="A20" s="141" t="s">
        <v>97</v>
      </c>
      <c r="B20" s="134">
        <v>0.61374134</v>
      </c>
      <c r="C20" s="117">
        <v>0.48857379000000006</v>
      </c>
      <c r="D20" s="117">
        <v>0.5186678</v>
      </c>
      <c r="E20" s="117">
        <v>0.21593435999999996</v>
      </c>
      <c r="F20" s="155">
        <v>2.2383043999999996</v>
      </c>
      <c r="G20" s="160">
        <v>0.6816735725881385</v>
      </c>
    </row>
    <row r="21" spans="1:7" ht="12.75">
      <c r="A21" s="141" t="s">
        <v>99</v>
      </c>
      <c r="B21" s="135">
        <v>-0.18125063</v>
      </c>
      <c r="C21" s="119">
        <v>-0.128988806</v>
      </c>
      <c r="D21" s="119">
        <v>-0.126968704</v>
      </c>
      <c r="E21" s="119">
        <v>-0.005616152399999999</v>
      </c>
      <c r="F21" s="154">
        <v>0.26248091999999995</v>
      </c>
      <c r="G21" s="160">
        <v>-0.05418876048628586</v>
      </c>
    </row>
    <row r="22" spans="1:7" ht="12.75">
      <c r="A22" s="141" t="s">
        <v>101</v>
      </c>
      <c r="B22" s="135">
        <v>-0.28089648</v>
      </c>
      <c r="C22" s="119">
        <v>-0.21828521999999997</v>
      </c>
      <c r="D22" s="119">
        <v>-0.26780199000000005</v>
      </c>
      <c r="E22" s="119">
        <v>-0.22670892999999998</v>
      </c>
      <c r="F22" s="154">
        <v>0.26493880999999997</v>
      </c>
      <c r="G22" s="160">
        <v>-0.17685936723449636</v>
      </c>
    </row>
    <row r="23" spans="1:7" ht="12.75">
      <c r="A23" s="141" t="s">
        <v>103</v>
      </c>
      <c r="B23" s="135">
        <v>0.087536112</v>
      </c>
      <c r="C23" s="119">
        <v>-0.07193483199999999</v>
      </c>
      <c r="D23" s="119">
        <v>-0.0046715302</v>
      </c>
      <c r="E23" s="119">
        <v>-0.015022120699999999</v>
      </c>
      <c r="F23" s="154">
        <v>-0.12521444999999998</v>
      </c>
      <c r="G23" s="160">
        <v>-0.026059338812269423</v>
      </c>
    </row>
    <row r="24" spans="1:7" ht="12.75">
      <c r="A24" s="141" t="s">
        <v>105</v>
      </c>
      <c r="B24" s="134">
        <v>0.10543001700000001</v>
      </c>
      <c r="C24" s="117">
        <v>0.049393661</v>
      </c>
      <c r="D24" s="117">
        <v>0.031665565699999995</v>
      </c>
      <c r="E24" s="117">
        <v>0.0293032864</v>
      </c>
      <c r="F24" s="156">
        <v>0.39308739000000004</v>
      </c>
      <c r="G24" s="160">
        <v>0.0942438860055041</v>
      </c>
    </row>
    <row r="25" spans="1:7" ht="12.75">
      <c r="A25" s="141" t="s">
        <v>107</v>
      </c>
      <c r="B25" s="135">
        <v>-0.00022896050000000036</v>
      </c>
      <c r="C25" s="119">
        <v>0.036847848</v>
      </c>
      <c r="D25" s="119">
        <v>0.008899129</v>
      </c>
      <c r="E25" s="119">
        <v>-0.0079956568</v>
      </c>
      <c r="F25" s="154">
        <v>0.037730392</v>
      </c>
      <c r="G25" s="160">
        <v>0.014080172521777479</v>
      </c>
    </row>
    <row r="26" spans="1:7" ht="12.75">
      <c r="A26" s="141" t="s">
        <v>109</v>
      </c>
      <c r="B26" s="135">
        <v>-0.008102398</v>
      </c>
      <c r="C26" s="119">
        <v>0.0127813852</v>
      </c>
      <c r="D26" s="119">
        <v>-0.02178007263</v>
      </c>
      <c r="E26" s="119">
        <v>-0.013781365700000001</v>
      </c>
      <c r="F26" s="154">
        <v>0.0355795058</v>
      </c>
      <c r="G26" s="160">
        <v>-0.0019104703567248938</v>
      </c>
    </row>
    <row r="27" spans="1:7" ht="12.75">
      <c r="A27" s="141" t="s">
        <v>111</v>
      </c>
      <c r="B27" s="135">
        <v>0.07373496799999998</v>
      </c>
      <c r="C27" s="119">
        <v>0.029128285999999996</v>
      </c>
      <c r="D27" s="119">
        <v>0.017747753999999998</v>
      </c>
      <c r="E27" s="119">
        <v>0.039340208</v>
      </c>
      <c r="F27" s="154">
        <v>0.038783735</v>
      </c>
      <c r="G27" s="160">
        <v>0.03659724683794288</v>
      </c>
    </row>
    <row r="28" spans="1:7" ht="12.75">
      <c r="A28" s="141" t="s">
        <v>113</v>
      </c>
      <c r="B28" s="135">
        <v>0.010821847700000001</v>
      </c>
      <c r="C28" s="119">
        <v>0.019855795000000002</v>
      </c>
      <c r="D28" s="119">
        <v>0.016516454000000003</v>
      </c>
      <c r="E28" s="119">
        <v>0.0154100565</v>
      </c>
      <c r="F28" s="154">
        <v>-0.0031243110000000003</v>
      </c>
      <c r="G28" s="160">
        <v>0.013609544488458289</v>
      </c>
    </row>
    <row r="29" spans="1:7" ht="13.5" thickBot="1">
      <c r="A29" s="142" t="s">
        <v>115</v>
      </c>
      <c r="B29" s="137">
        <v>-0.0011600579999999998</v>
      </c>
      <c r="C29" s="121">
        <v>-0.000684714888</v>
      </c>
      <c r="D29" s="121">
        <v>-0.00159224891</v>
      </c>
      <c r="E29" s="121">
        <v>-0.00300662931</v>
      </c>
      <c r="F29" s="157">
        <v>0.0020174222500000004</v>
      </c>
      <c r="G29" s="161">
        <v>-0.001170263153752593</v>
      </c>
    </row>
    <row r="30" spans="1:7" ht="13.5" thickTop="1">
      <c r="A30" s="143" t="s">
        <v>116</v>
      </c>
      <c r="B30" s="138">
        <v>-0.3471491302175013</v>
      </c>
      <c r="C30" s="127">
        <v>-0.11926019436018068</v>
      </c>
      <c r="D30" s="127">
        <v>0.12778859813024615</v>
      </c>
      <c r="E30" s="127">
        <v>0.34225352830891365</v>
      </c>
      <c r="F30" s="123">
        <v>0.498161515029014</v>
      </c>
      <c r="G30" s="162" t="s">
        <v>127</v>
      </c>
    </row>
    <row r="31" spans="1:7" ht="13.5" thickBot="1">
      <c r="A31" s="144" t="s">
        <v>117</v>
      </c>
      <c r="B31" s="133">
        <v>18.502808</v>
      </c>
      <c r="C31" s="124">
        <v>18.695069</v>
      </c>
      <c r="D31" s="124">
        <v>18.872071</v>
      </c>
      <c r="E31" s="124">
        <v>19.030762</v>
      </c>
      <c r="F31" s="125">
        <v>19.201661</v>
      </c>
      <c r="G31" s="164">
        <v>-209.61</v>
      </c>
    </row>
    <row r="32" spans="1:7" ht="15.75" thickBot="1" thickTop="1">
      <c r="A32" s="145" t="s">
        <v>118</v>
      </c>
      <c r="B32" s="139">
        <v>0.4114999920129776</v>
      </c>
      <c r="C32" s="128">
        <v>-0.35999999940395355</v>
      </c>
      <c r="D32" s="128">
        <v>0.42800000309944153</v>
      </c>
      <c r="E32" s="128">
        <v>0.5319999903440475</v>
      </c>
      <c r="F32" s="126">
        <v>0.419500008225441</v>
      </c>
      <c r="G32" s="131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70.5" style="165" bestFit="1" customWidth="1"/>
    <col min="2" max="3" width="15.33203125" style="165" bestFit="1" customWidth="1"/>
    <col min="4" max="4" width="16" style="165" bestFit="1" customWidth="1"/>
    <col min="5" max="5" width="22.16015625" style="165" bestFit="1" customWidth="1"/>
    <col min="6" max="6" width="14.83203125" style="165" bestFit="1" customWidth="1"/>
    <col min="7" max="7" width="15.33203125" style="165" bestFit="1" customWidth="1"/>
    <col min="8" max="8" width="14.16015625" style="165" bestFit="1" customWidth="1"/>
    <col min="9" max="9" width="14.8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128</v>
      </c>
      <c r="B1" s="165" t="s">
        <v>129</v>
      </c>
      <c r="C1" s="165" t="s">
        <v>130</v>
      </c>
      <c r="D1" s="165" t="s">
        <v>131</v>
      </c>
      <c r="E1" s="165" t="s">
        <v>28</v>
      </c>
    </row>
    <row r="3" spans="1:7" ht="12.75">
      <c r="A3" s="165" t="s">
        <v>132</v>
      </c>
      <c r="B3" s="165" t="s">
        <v>83</v>
      </c>
      <c r="C3" s="165" t="s">
        <v>84</v>
      </c>
      <c r="D3" s="165" t="s">
        <v>85</v>
      </c>
      <c r="E3" s="165" t="s">
        <v>86</v>
      </c>
      <c r="F3" s="165" t="s">
        <v>87</v>
      </c>
      <c r="G3" s="165" t="s">
        <v>133</v>
      </c>
    </row>
    <row r="4" spans="1:7" ht="12.75">
      <c r="A4" s="165" t="s">
        <v>134</v>
      </c>
      <c r="B4" s="165">
        <f>0.002257*1.0033</f>
        <v>0.0022644481</v>
      </c>
      <c r="C4" s="165">
        <f>0.003748*1.0033</f>
        <v>0.0037603684</v>
      </c>
      <c r="D4" s="165">
        <f>0.003748*1.0033</f>
        <v>0.0037603684</v>
      </c>
      <c r="E4" s="165">
        <f>0.003748*1.0033</f>
        <v>0.0037603684</v>
      </c>
      <c r="F4" s="165">
        <f>0.002077*1.0033</f>
        <v>0.0020838541</v>
      </c>
      <c r="G4" s="165">
        <f>0.011682*1.0033</f>
        <v>0.0117205506</v>
      </c>
    </row>
    <row r="5" spans="1:7" ht="12.75">
      <c r="A5" s="165" t="s">
        <v>135</v>
      </c>
      <c r="B5" s="165">
        <v>7.650117</v>
      </c>
      <c r="C5" s="165">
        <v>3.680725</v>
      </c>
      <c r="D5" s="165">
        <v>0.09946</v>
      </c>
      <c r="E5" s="165">
        <v>-4.390213</v>
      </c>
      <c r="F5" s="165">
        <v>-7.251001</v>
      </c>
      <c r="G5" s="165">
        <v>1.989941</v>
      </c>
    </row>
    <row r="6" spans="1:7" ht="12.75">
      <c r="A6" s="165" t="s">
        <v>136</v>
      </c>
      <c r="B6" s="166">
        <v>7.474948</v>
      </c>
      <c r="C6" s="166">
        <v>-0.3292777</v>
      </c>
      <c r="D6" s="166">
        <v>34.16917</v>
      </c>
      <c r="E6" s="166">
        <v>-24.24924</v>
      </c>
      <c r="F6" s="166">
        <v>-25.41049</v>
      </c>
      <c r="G6" s="166">
        <v>0.002535455</v>
      </c>
    </row>
    <row r="7" spans="1:7" ht="12.75">
      <c r="A7" s="165" t="s">
        <v>137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</row>
    <row r="8" spans="1:7" ht="12.75">
      <c r="A8" s="165" t="s">
        <v>90</v>
      </c>
      <c r="B8" s="166">
        <v>0.6420261</v>
      </c>
      <c r="C8" s="166">
        <v>2.038588</v>
      </c>
      <c r="D8" s="166">
        <v>0.2319359</v>
      </c>
      <c r="E8" s="166">
        <v>0.5262627</v>
      </c>
      <c r="F8" s="166">
        <v>-6.193637</v>
      </c>
      <c r="G8" s="166">
        <v>-0.0598488</v>
      </c>
    </row>
    <row r="9" spans="1:7" ht="12.75">
      <c r="A9" s="165" t="s">
        <v>92</v>
      </c>
      <c r="B9" s="166">
        <v>0.05023262</v>
      </c>
      <c r="C9" s="166">
        <v>0.7773915</v>
      </c>
      <c r="D9" s="166">
        <v>0.6516304</v>
      </c>
      <c r="E9" s="166">
        <v>0.3664279</v>
      </c>
      <c r="F9" s="166">
        <v>-2.647738</v>
      </c>
      <c r="G9" s="166">
        <v>0.08627301</v>
      </c>
    </row>
    <row r="10" spans="1:7" ht="12.75">
      <c r="A10" s="165" t="s">
        <v>94</v>
      </c>
      <c r="B10" s="166">
        <v>-0.1583969</v>
      </c>
      <c r="C10" s="166">
        <v>-0.7438507</v>
      </c>
      <c r="D10" s="166">
        <v>-0.1089687</v>
      </c>
      <c r="E10" s="166">
        <v>-0.4606187</v>
      </c>
      <c r="F10" s="166">
        <v>-0.5448041</v>
      </c>
      <c r="G10" s="166">
        <v>-0.4115772</v>
      </c>
    </row>
    <row r="11" spans="1:7" ht="12.75">
      <c r="A11" s="165" t="s">
        <v>96</v>
      </c>
      <c r="B11" s="166">
        <v>4.435507</v>
      </c>
      <c r="C11" s="166">
        <v>3.317781</v>
      </c>
      <c r="D11" s="166">
        <v>3.278902</v>
      </c>
      <c r="E11" s="166">
        <v>2.886791</v>
      </c>
      <c r="F11" s="166">
        <v>14.72932</v>
      </c>
      <c r="G11" s="166">
        <v>4.888142</v>
      </c>
    </row>
    <row r="12" spans="1:7" ht="12.75">
      <c r="A12" s="165" t="s">
        <v>98</v>
      </c>
      <c r="B12" s="166">
        <v>-0.00852724</v>
      </c>
      <c r="C12" s="166">
        <v>-0.1577067</v>
      </c>
      <c r="D12" s="166">
        <v>-0.2288603</v>
      </c>
      <c r="E12" s="166">
        <v>-0.1603937</v>
      </c>
      <c r="F12" s="166">
        <v>-0.4447543</v>
      </c>
      <c r="G12" s="166">
        <v>-0.1921317</v>
      </c>
    </row>
    <row r="13" spans="1:7" ht="12.75">
      <c r="A13" s="165" t="s">
        <v>100</v>
      </c>
      <c r="B13" s="166">
        <v>0.0206838</v>
      </c>
      <c r="C13" s="166">
        <v>0.1784296</v>
      </c>
      <c r="D13" s="166">
        <v>0.0435536</v>
      </c>
      <c r="E13" s="166">
        <v>-0.05421677</v>
      </c>
      <c r="F13" s="166">
        <v>-0.1901505</v>
      </c>
      <c r="G13" s="166">
        <v>0.01801389</v>
      </c>
    </row>
    <row r="14" spans="1:7" ht="12.75">
      <c r="A14" s="165" t="s">
        <v>102</v>
      </c>
      <c r="B14" s="166">
        <v>-0.09230517</v>
      </c>
      <c r="C14" s="166">
        <v>-0.08806073</v>
      </c>
      <c r="D14" s="166">
        <v>-0.09541325</v>
      </c>
      <c r="E14" s="166">
        <v>-0.1398086</v>
      </c>
      <c r="F14" s="166">
        <v>-0.1501818</v>
      </c>
      <c r="G14" s="166">
        <v>-0.1111772</v>
      </c>
    </row>
    <row r="15" spans="1:7" ht="12.75">
      <c r="A15" s="165" t="s">
        <v>104</v>
      </c>
      <c r="B15" s="166">
        <v>-0.3608264</v>
      </c>
      <c r="C15" s="166">
        <v>-0.1195076</v>
      </c>
      <c r="D15" s="166">
        <v>-0.09549222</v>
      </c>
      <c r="E15" s="166">
        <v>-0.1465338</v>
      </c>
      <c r="F15" s="166">
        <v>-0.3379999</v>
      </c>
      <c r="G15" s="166">
        <v>-0.1843291</v>
      </c>
    </row>
    <row r="16" spans="1:7" ht="12.75">
      <c r="A16" s="165" t="s">
        <v>106</v>
      </c>
      <c r="B16" s="166">
        <v>-0.008964365</v>
      </c>
      <c r="C16" s="166">
        <v>-0.00839427</v>
      </c>
      <c r="D16" s="166">
        <v>0.02910273</v>
      </c>
      <c r="E16" s="166">
        <v>0.02589376</v>
      </c>
      <c r="F16" s="166">
        <v>0.03805438</v>
      </c>
      <c r="G16" s="166">
        <v>0.01498719</v>
      </c>
    </row>
    <row r="17" spans="1:7" ht="12.75">
      <c r="A17" s="165" t="s">
        <v>108</v>
      </c>
      <c r="B17" s="166">
        <v>-0.00759031</v>
      </c>
      <c r="C17" s="166">
        <v>-0.006767657</v>
      </c>
      <c r="D17" s="166">
        <v>-0.003932773</v>
      </c>
      <c r="E17" s="166">
        <v>-0.007202123</v>
      </c>
      <c r="F17" s="166">
        <v>0.005286493</v>
      </c>
      <c r="G17" s="166">
        <v>-0.004701948</v>
      </c>
    </row>
    <row r="18" spans="1:7" ht="12.75">
      <c r="A18" s="165" t="s">
        <v>110</v>
      </c>
      <c r="B18" s="166">
        <v>0.01695451</v>
      </c>
      <c r="C18" s="166">
        <v>0.04129495</v>
      </c>
      <c r="D18" s="166">
        <v>0.02065601</v>
      </c>
      <c r="E18" s="166">
        <v>0.03204354</v>
      </c>
      <c r="F18" s="166">
        <v>0.01154432</v>
      </c>
      <c r="G18" s="166">
        <v>0.02660775</v>
      </c>
    </row>
    <row r="19" spans="1:7" ht="12.75">
      <c r="A19" s="165" t="s">
        <v>112</v>
      </c>
      <c r="B19" s="166">
        <v>-0.1912694</v>
      </c>
      <c r="C19" s="166">
        <v>-0.164386</v>
      </c>
      <c r="D19" s="166">
        <v>-0.1679569</v>
      </c>
      <c r="E19" s="166">
        <v>-0.1549862</v>
      </c>
      <c r="F19" s="166">
        <v>-0.1300123</v>
      </c>
      <c r="G19" s="166">
        <v>-0.1622961</v>
      </c>
    </row>
    <row r="20" spans="1:7" ht="12.75">
      <c r="A20" s="165" t="s">
        <v>114</v>
      </c>
      <c r="B20" s="166">
        <v>-0.004030602</v>
      </c>
      <c r="C20" s="166">
        <v>-0.0001969312</v>
      </c>
      <c r="D20" s="166">
        <v>0.00218534</v>
      </c>
      <c r="E20" s="166">
        <v>0.003791968</v>
      </c>
      <c r="F20" s="166">
        <v>0.002315403</v>
      </c>
      <c r="G20" s="166">
        <v>0.001115677</v>
      </c>
    </row>
    <row r="21" spans="1:7" ht="12.75">
      <c r="A21" s="165" t="s">
        <v>138</v>
      </c>
      <c r="B21" s="166">
        <v>-107.2826</v>
      </c>
      <c r="C21" s="166">
        <v>50.22497</v>
      </c>
      <c r="D21" s="166">
        <v>129.6292</v>
      </c>
      <c r="E21" s="166">
        <v>-26.26957</v>
      </c>
      <c r="F21" s="166">
        <v>-160.5746</v>
      </c>
      <c r="G21" s="166">
        <v>0.0007034568</v>
      </c>
    </row>
    <row r="22" spans="1:7" ht="12.75">
      <c r="A22" s="165" t="s">
        <v>139</v>
      </c>
      <c r="B22" s="166">
        <v>153.0143</v>
      </c>
      <c r="C22" s="166">
        <v>73.61583</v>
      </c>
      <c r="D22" s="166">
        <v>1.989206</v>
      </c>
      <c r="E22" s="166">
        <v>-87.80652</v>
      </c>
      <c r="F22" s="166">
        <v>-145.0302</v>
      </c>
      <c r="G22" s="166">
        <v>0</v>
      </c>
    </row>
    <row r="23" spans="1:7" ht="12.75">
      <c r="A23" s="165" t="s">
        <v>140</v>
      </c>
      <c r="B23" s="166">
        <v>-4.76182</v>
      </c>
      <c r="C23" s="166">
        <v>-5.701462</v>
      </c>
      <c r="D23" s="166">
        <v>-3.472229</v>
      </c>
      <c r="E23" s="166">
        <v>-3.491125</v>
      </c>
      <c r="F23" s="166">
        <v>4.178734</v>
      </c>
      <c r="G23" s="166">
        <v>-3.179828</v>
      </c>
    </row>
    <row r="24" spans="1:7" ht="12.75">
      <c r="A24" s="165" t="s">
        <v>141</v>
      </c>
      <c r="B24" s="166">
        <v>0.1670539</v>
      </c>
      <c r="C24" s="166">
        <v>-3.322442</v>
      </c>
      <c r="D24" s="166">
        <v>-2.40665</v>
      </c>
      <c r="E24" s="166">
        <v>-2.133474</v>
      </c>
      <c r="F24" s="166">
        <v>0.4332083</v>
      </c>
      <c r="G24" s="166">
        <v>-1.809753</v>
      </c>
    </row>
    <row r="25" spans="1:7" ht="12.75">
      <c r="A25" s="165" t="s">
        <v>95</v>
      </c>
      <c r="B25" s="166">
        <v>0.1277644</v>
      </c>
      <c r="C25" s="166">
        <v>-0.8386192</v>
      </c>
      <c r="D25" s="166">
        <v>-0.2531412</v>
      </c>
      <c r="E25" s="166">
        <v>-0.3507059</v>
      </c>
      <c r="F25" s="166">
        <v>-2.241341</v>
      </c>
      <c r="G25" s="166">
        <v>-0.6273914</v>
      </c>
    </row>
    <row r="26" spans="1:7" ht="12.75">
      <c r="A26" s="165" t="s">
        <v>97</v>
      </c>
      <c r="B26" s="166">
        <v>0.8191418</v>
      </c>
      <c r="C26" s="166">
        <v>0.558272</v>
      </c>
      <c r="D26" s="166">
        <v>0.5007039</v>
      </c>
      <c r="E26" s="166">
        <v>0.1431611</v>
      </c>
      <c r="F26" s="166">
        <v>1.641078</v>
      </c>
      <c r="G26" s="166">
        <v>0.6268635</v>
      </c>
    </row>
    <row r="27" spans="1:7" ht="12.75">
      <c r="A27" s="165" t="s">
        <v>99</v>
      </c>
      <c r="B27" s="166">
        <v>-0.1786159</v>
      </c>
      <c r="C27" s="166">
        <v>-0.1235121</v>
      </c>
      <c r="D27" s="166">
        <v>-0.1265228</v>
      </c>
      <c r="E27" s="166">
        <v>0.007227592</v>
      </c>
      <c r="F27" s="166">
        <v>0.3058466</v>
      </c>
      <c r="G27" s="166">
        <v>-0.04352378</v>
      </c>
    </row>
    <row r="28" spans="1:7" ht="12.75">
      <c r="A28" s="165" t="s">
        <v>101</v>
      </c>
      <c r="B28" s="166">
        <v>-0.2756016</v>
      </c>
      <c r="C28" s="166">
        <v>-0.2175423</v>
      </c>
      <c r="D28" s="166">
        <v>-0.2781573</v>
      </c>
      <c r="E28" s="166">
        <v>-0.2222361</v>
      </c>
      <c r="F28" s="166">
        <v>0.2966436</v>
      </c>
      <c r="G28" s="166">
        <v>-0.1731097</v>
      </c>
    </row>
    <row r="29" spans="1:7" ht="12.75">
      <c r="A29" s="165" t="s">
        <v>103</v>
      </c>
      <c r="B29" s="166">
        <v>0.116473</v>
      </c>
      <c r="C29" s="166">
        <v>-0.07992943</v>
      </c>
      <c r="D29" s="166">
        <v>-0.01418803</v>
      </c>
      <c r="E29" s="166">
        <v>-0.006018137</v>
      </c>
      <c r="F29" s="166">
        <v>-0.06843405</v>
      </c>
      <c r="G29" s="166">
        <v>-0.01634782</v>
      </c>
    </row>
    <row r="30" spans="1:7" ht="12.75">
      <c r="A30" s="165" t="s">
        <v>105</v>
      </c>
      <c r="B30" s="166">
        <v>0.07822781</v>
      </c>
      <c r="C30" s="166">
        <v>0.04485053</v>
      </c>
      <c r="D30" s="166">
        <v>0.03573097</v>
      </c>
      <c r="E30" s="166">
        <v>0.03528504</v>
      </c>
      <c r="F30" s="166">
        <v>0.4118675</v>
      </c>
      <c r="G30" s="166">
        <v>0.09411506</v>
      </c>
    </row>
    <row r="31" spans="1:7" ht="12.75">
      <c r="A31" s="165" t="s">
        <v>107</v>
      </c>
      <c r="B31" s="166">
        <v>-0.0008646209</v>
      </c>
      <c r="C31" s="166">
        <v>0.03525109</v>
      </c>
      <c r="D31" s="166">
        <v>0.006647045</v>
      </c>
      <c r="E31" s="166">
        <v>-0.009770747</v>
      </c>
      <c r="F31" s="166">
        <v>0.03257591</v>
      </c>
      <c r="G31" s="166">
        <v>0.01194848</v>
      </c>
    </row>
    <row r="32" spans="1:7" ht="12.75">
      <c r="A32" s="165" t="s">
        <v>109</v>
      </c>
      <c r="B32" s="166">
        <v>-0.01254589</v>
      </c>
      <c r="C32" s="166">
        <v>0.01448964</v>
      </c>
      <c r="D32" s="166">
        <v>-0.01830074</v>
      </c>
      <c r="E32" s="166">
        <v>-0.015871240000000002</v>
      </c>
      <c r="F32" s="166">
        <v>0.03135528</v>
      </c>
      <c r="G32" s="166">
        <v>-0.002373076</v>
      </c>
    </row>
    <row r="33" spans="1:7" ht="12.75">
      <c r="A33" s="165" t="s">
        <v>111</v>
      </c>
      <c r="B33" s="166">
        <v>0.08442534</v>
      </c>
      <c r="C33" s="166">
        <v>0.02797405</v>
      </c>
      <c r="D33" s="166">
        <v>0.009367088</v>
      </c>
      <c r="E33" s="166">
        <v>0.03930454</v>
      </c>
      <c r="F33" s="166">
        <v>0.04702975</v>
      </c>
      <c r="G33" s="166">
        <v>0.03694405</v>
      </c>
    </row>
    <row r="34" spans="1:7" ht="12.75">
      <c r="A34" s="165" t="s">
        <v>113</v>
      </c>
      <c r="B34" s="166">
        <v>-0.009641681</v>
      </c>
      <c r="C34" s="166">
        <v>0.01141238</v>
      </c>
      <c r="D34" s="166">
        <v>0.0163013</v>
      </c>
      <c r="E34" s="166">
        <v>0.02498537</v>
      </c>
      <c r="F34" s="166">
        <v>0.01008395</v>
      </c>
      <c r="G34" s="166">
        <v>0.01261506</v>
      </c>
    </row>
    <row r="35" spans="1:7" ht="12.75">
      <c r="A35" s="165" t="s">
        <v>115</v>
      </c>
      <c r="B35" s="166">
        <v>-0.001631161</v>
      </c>
      <c r="C35" s="166">
        <v>-0.0006963183</v>
      </c>
      <c r="D35" s="166">
        <v>-0.001588258</v>
      </c>
      <c r="E35" s="166">
        <v>-0.003263502</v>
      </c>
      <c r="F35" s="166">
        <v>0.001778467</v>
      </c>
      <c r="G35" s="166">
        <v>-0.001333974</v>
      </c>
    </row>
    <row r="36" spans="1:6" ht="12.75">
      <c r="A36" s="165" t="s">
        <v>142</v>
      </c>
      <c r="B36" s="166">
        <v>19.20166</v>
      </c>
      <c r="C36" s="166">
        <v>19.21387</v>
      </c>
      <c r="D36" s="166">
        <v>19.24744</v>
      </c>
      <c r="E36" s="166">
        <v>19.25964</v>
      </c>
      <c r="F36" s="166">
        <v>19.29016</v>
      </c>
    </row>
    <row r="37" spans="1:6" ht="12.75">
      <c r="A37" s="165" t="s">
        <v>143</v>
      </c>
      <c r="B37" s="166">
        <v>0.4262289</v>
      </c>
      <c r="C37" s="166">
        <v>0.4145304</v>
      </c>
      <c r="D37" s="166">
        <v>0.4058838</v>
      </c>
      <c r="E37" s="166">
        <v>0.402832</v>
      </c>
      <c r="F37" s="166">
        <v>0.3967285</v>
      </c>
    </row>
    <row r="38" spans="1:7" ht="12.75">
      <c r="A38" s="165" t="s">
        <v>144</v>
      </c>
      <c r="B38" s="166">
        <v>0</v>
      </c>
      <c r="C38" s="166">
        <v>0</v>
      </c>
      <c r="D38" s="166">
        <v>-5.813143E-05</v>
      </c>
      <c r="E38" s="166">
        <v>4.082843E-05</v>
      </c>
      <c r="F38" s="166">
        <v>3.923059E-05</v>
      </c>
      <c r="G38" s="166">
        <v>0.0003061027</v>
      </c>
    </row>
    <row r="39" spans="1:7" ht="12.75">
      <c r="A39" s="165" t="s">
        <v>145</v>
      </c>
      <c r="B39" s="166">
        <v>0.0001825322</v>
      </c>
      <c r="C39" s="166">
        <v>-8.538195E-05</v>
      </c>
      <c r="D39" s="166">
        <v>-0.0002203581</v>
      </c>
      <c r="E39" s="166">
        <v>4.501676E-05</v>
      </c>
      <c r="F39" s="166">
        <v>0.0002735458</v>
      </c>
      <c r="G39" s="166">
        <v>0.000431662</v>
      </c>
    </row>
    <row r="40" spans="2:5" ht="12.75">
      <c r="B40" s="165" t="s">
        <v>146</v>
      </c>
      <c r="C40" s="165">
        <v>-0.003748</v>
      </c>
      <c r="D40" s="165" t="s">
        <v>147</v>
      </c>
      <c r="E40" s="165">
        <v>3.116909</v>
      </c>
    </row>
    <row r="42" ht="12.75">
      <c r="A42" s="165" t="s">
        <v>148</v>
      </c>
    </row>
    <row r="50" spans="1:7" ht="12.75">
      <c r="A50" s="165" t="s">
        <v>149</v>
      </c>
      <c r="B50" s="165">
        <f>-0.017/(B7*B7+B22*B22)*(B21*B22+B6*B7)</f>
        <v>-9.914409072124722E-06</v>
      </c>
      <c r="C50" s="165">
        <f>-0.017/(C7*C7+C22*C22)*(C21*C22+C6*C7)</f>
        <v>-6.877416798486546E-08</v>
      </c>
      <c r="D50" s="165">
        <f>-0.017/(D7*D7+D22*D22)*(D21*D22+D6*D7)</f>
        <v>-5.813142276078476E-05</v>
      </c>
      <c r="E50" s="165">
        <f>-0.017/(E7*E7+E22*E22)*(E21*E22+E6*E7)</f>
        <v>4.0828431415069355E-05</v>
      </c>
      <c r="F50" s="165">
        <f>-0.017/(F7*F7+F22*F22)*(F21*F22+F6*F7)</f>
        <v>3.923059305164136E-05</v>
      </c>
      <c r="G50" s="165">
        <f>(B50*B$4+C50*C$4+D50*D$4+E50*E$4+F50*F$4)/SUM(B$4:F$4)</f>
        <v>-3.8543180465239633E-07</v>
      </c>
    </row>
    <row r="51" spans="1:7" ht="12.75">
      <c r="A51" s="165" t="s">
        <v>150</v>
      </c>
      <c r="B51" s="165">
        <f>-0.017/(B7*B7+B22*B22)*(B21*B7-B6*B22)</f>
        <v>0.0001825321246364085</v>
      </c>
      <c r="C51" s="165">
        <f>-0.017/(C7*C7+C22*C22)*(C21*C7-C6*C22)</f>
        <v>-8.538194271325414E-05</v>
      </c>
      <c r="D51" s="165">
        <f>-0.017/(D7*D7+D22*D22)*(D21*D7-D6*D22)</f>
        <v>-0.00022035807646250555</v>
      </c>
      <c r="E51" s="165">
        <f>-0.017/(E7*E7+E22*E22)*(E21*E7-E6*E22)</f>
        <v>4.50167692479616E-05</v>
      </c>
      <c r="F51" s="165">
        <f>-0.017/(F7*F7+F22*F22)*(F21*F7-F6*F22)</f>
        <v>0.00027354578207563986</v>
      </c>
      <c r="G51" s="165">
        <f>(B51*B$4+C51*C$4+D51*D$4+E51*E$4+F51*F$4)/SUM(B$4:F$4)</f>
        <v>1.8865412415527005E-07</v>
      </c>
    </row>
    <row r="58" ht="12.75">
      <c r="A58" s="165" t="s">
        <v>152</v>
      </c>
    </row>
    <row r="60" spans="2:6" ht="12.75">
      <c r="B60" s="165" t="s">
        <v>83</v>
      </c>
      <c r="C60" s="165" t="s">
        <v>84</v>
      </c>
      <c r="D60" s="165" t="s">
        <v>85</v>
      </c>
      <c r="E60" s="165" t="s">
        <v>86</v>
      </c>
      <c r="F60" s="165" t="s">
        <v>87</v>
      </c>
    </row>
    <row r="61" spans="1:6" ht="12.75">
      <c r="A61" s="165" t="s">
        <v>154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157</v>
      </c>
      <c r="B62" s="165">
        <f>B7+(2/0.017)*(B8*B50-B23*B51)</f>
        <v>10000.101508213218</v>
      </c>
      <c r="C62" s="165">
        <f>C7+(2/0.017)*(C8*C50-C23*C51)</f>
        <v>9999.94271269364</v>
      </c>
      <c r="D62" s="165">
        <f>D7+(2/0.017)*(D8*D50-D23*D51)</f>
        <v>9999.908398062667</v>
      </c>
      <c r="E62" s="165">
        <f>E7+(2/0.017)*(E8*E50-E23*E51)</f>
        <v>10000.021017135188</v>
      </c>
      <c r="F62" s="165">
        <f>F7+(2/0.017)*(F8*F50-F23*F51)</f>
        <v>9999.836934692616</v>
      </c>
    </row>
    <row r="63" spans="1:6" ht="12.75">
      <c r="A63" s="165" t="s">
        <v>158</v>
      </c>
      <c r="B63" s="165">
        <f>B8+(3/0.017)*(B9*B50-B24*B51)</f>
        <v>0.6365571476401337</v>
      </c>
      <c r="C63" s="165">
        <f>C8+(3/0.017)*(C9*C50-C24*C51)</f>
        <v>1.9885179970060491</v>
      </c>
      <c r="D63" s="165">
        <f>D8+(3/0.017)*(D9*D50-D24*D51)</f>
        <v>0.13166443523799973</v>
      </c>
      <c r="E63" s="165">
        <f>E8+(3/0.017)*(E9*E50-E24*E51)</f>
        <v>0.5458514264361606</v>
      </c>
      <c r="F63" s="165">
        <f>F8+(3/0.017)*(F9*F50-F24*F51)</f>
        <v>-6.23287958268421</v>
      </c>
    </row>
    <row r="64" spans="1:6" ht="12.75">
      <c r="A64" s="165" t="s">
        <v>159</v>
      </c>
      <c r="B64" s="165">
        <f>B9+(4/0.017)*(B10*B50-B25*B51)</f>
        <v>0.045114809241755406</v>
      </c>
      <c r="C64" s="165">
        <f>C9+(4/0.017)*(C10*C50-C25*C51)</f>
        <v>0.7605557873459676</v>
      </c>
      <c r="D64" s="165">
        <f>D9+(4/0.017)*(D10*D50-D25*D51)</f>
        <v>0.6399957641557606</v>
      </c>
      <c r="E64" s="165">
        <f>E9+(4/0.017)*(E10*E50-E25*E51)</f>
        <v>0.36571761942888237</v>
      </c>
      <c r="F64" s="165">
        <f>F9+(4/0.017)*(F10*F50-F25*F51)</f>
        <v>-2.5085059085168866</v>
      </c>
    </row>
    <row r="65" spans="1:6" ht="12.75">
      <c r="A65" s="165" t="s">
        <v>160</v>
      </c>
      <c r="B65" s="165">
        <f>B10+(5/0.017)*(B11*B50-B26*B51)</f>
        <v>-0.21530723058022494</v>
      </c>
      <c r="C65" s="165">
        <f>C10+(5/0.017)*(C11*C50-C26*C51)</f>
        <v>-0.7298982969721814</v>
      </c>
      <c r="D65" s="165">
        <f>D10+(5/0.017)*(D11*D50-D26*D51)</f>
        <v>-0.13257843237409056</v>
      </c>
      <c r="E65" s="165">
        <f>E10+(5/0.017)*(E11*E50-E26*E51)</f>
        <v>-0.4278485534855426</v>
      </c>
      <c r="F65" s="165">
        <f>F10+(5/0.017)*(F11*F50-F26*F51)</f>
        <v>-0.5068835135616838</v>
      </c>
    </row>
    <row r="66" spans="1:6" ht="12.75">
      <c r="A66" s="165" t="s">
        <v>161</v>
      </c>
      <c r="B66" s="165">
        <f>B11+(6/0.017)*(B12*B50-B27*B51)</f>
        <v>4.447043829035222</v>
      </c>
      <c r="C66" s="165">
        <f>C11+(6/0.017)*(C12*C50-C27*C51)</f>
        <v>3.3140628152119356</v>
      </c>
      <c r="D66" s="165">
        <f>D11+(6/0.017)*(D12*D50-D27*D51)</f>
        <v>3.2737574072996973</v>
      </c>
      <c r="E66" s="165">
        <f>E11+(6/0.017)*(E12*E50-E27*E51)</f>
        <v>2.884364887286656</v>
      </c>
      <c r="F66" s="165">
        <f>F11+(6/0.017)*(F12*F50-F27*F51)</f>
        <v>14.693633756819962</v>
      </c>
    </row>
    <row r="67" spans="1:6" ht="12.75">
      <c r="A67" s="165" t="s">
        <v>162</v>
      </c>
      <c r="B67" s="165">
        <f>B12+(7/0.017)*(B13*B50-B28*B51)</f>
        <v>0.012102615625164301</v>
      </c>
      <c r="C67" s="165">
        <f>C12+(7/0.017)*(C13*C50-C28*C51)</f>
        <v>-0.1653599464003032</v>
      </c>
      <c r="D67" s="165">
        <f>D12+(7/0.017)*(D13*D50-D28*D51)</f>
        <v>-0.25514161071850044</v>
      </c>
      <c r="E67" s="165">
        <f>E12+(7/0.017)*(E13*E50-E28*E51)</f>
        <v>-0.15718573771191605</v>
      </c>
      <c r="F67" s="165">
        <f>F12+(7/0.017)*(F13*F50-F28*F51)</f>
        <v>-0.4812388445356821</v>
      </c>
    </row>
    <row r="68" spans="1:6" ht="12.75">
      <c r="A68" s="165" t="s">
        <v>163</v>
      </c>
      <c r="B68" s="165">
        <f>B13+(8/0.017)*(B14*B50-B29*B51)</f>
        <v>0.011109723323329698</v>
      </c>
      <c r="C68" s="165">
        <f>C13+(8/0.017)*(C14*C50-C29*C51)</f>
        <v>0.17522090648944696</v>
      </c>
      <c r="D68" s="165">
        <f>D13+(8/0.017)*(D14*D50-D29*D51)</f>
        <v>0.04469245222265323</v>
      </c>
      <c r="E68" s="165">
        <f>E13+(8/0.017)*(E14*E50-E29*E51)</f>
        <v>-0.056775475294920115</v>
      </c>
      <c r="F68" s="165">
        <f>F13+(8/0.017)*(F14*F50-F29*F51)</f>
        <v>-0.18411373545962803</v>
      </c>
    </row>
    <row r="69" spans="1:6" ht="12.75">
      <c r="A69" s="165" t="s">
        <v>164</v>
      </c>
      <c r="B69" s="165">
        <f>B14+(9/0.017)*(B15*B50-B30*B51)</f>
        <v>-0.0979707800283518</v>
      </c>
      <c r="C69" s="165">
        <f>C14+(9/0.017)*(C15*C50-C30*C51)</f>
        <v>-0.08602903589588867</v>
      </c>
      <c r="D69" s="165">
        <f>D14+(9/0.017)*(D15*D50-D30*D51)</f>
        <v>-0.08830605247795717</v>
      </c>
      <c r="E69" s="165">
        <f>E14+(9/0.017)*(E15*E50-E30*E51)</f>
        <v>-0.1438168631389336</v>
      </c>
      <c r="F69" s="165">
        <f>F14+(9/0.017)*(F15*F50-F30*F51)</f>
        <v>-0.21684774031452392</v>
      </c>
    </row>
    <row r="70" spans="1:6" ht="12.75">
      <c r="A70" s="165" t="s">
        <v>165</v>
      </c>
      <c r="B70" s="165">
        <f>B15+(10/0.017)*(B16*B50-B31*B51)</f>
        <v>-0.36068128384025655</v>
      </c>
      <c r="C70" s="165">
        <f>C15+(10/0.017)*(C16*C50-C31*C51)</f>
        <v>-0.11773678596712067</v>
      </c>
      <c r="D70" s="165">
        <f>D15+(10/0.017)*(D16*D50-D31*D51)</f>
        <v>-0.09562578061809604</v>
      </c>
      <c r="E70" s="165">
        <f>E15+(10/0.017)*(E16*E50-E31*E51)</f>
        <v>-0.14565318290157794</v>
      </c>
      <c r="F70" s="165">
        <f>F15+(10/0.017)*(F16*F50-F31*F51)</f>
        <v>-0.3423634922836254</v>
      </c>
    </row>
    <row r="71" spans="1:6" ht="12.75">
      <c r="A71" s="165" t="s">
        <v>166</v>
      </c>
      <c r="B71" s="165">
        <f>B16+(11/0.017)*(B17*B50-B32*B51)</f>
        <v>-0.0074338888029254115</v>
      </c>
      <c r="C71" s="165">
        <f>C16+(11/0.017)*(C17*C50-C32*C51)</f>
        <v>-0.0075934576719796695</v>
      </c>
      <c r="D71" s="165">
        <f>D16+(11/0.017)*(D17*D50-D32*D51)</f>
        <v>0.02664125471071132</v>
      </c>
      <c r="E71" s="165">
        <f>E16+(11/0.017)*(E17*E50-E32*E51)</f>
        <v>0.026165796835406874</v>
      </c>
      <c r="F71" s="165">
        <f>F16+(11/0.017)*(F17*F50-F32*F51)</f>
        <v>0.032638683783722325</v>
      </c>
    </row>
    <row r="72" spans="1:6" ht="12.75">
      <c r="A72" s="165" t="s">
        <v>167</v>
      </c>
      <c r="B72" s="165">
        <f>B17+(12/0.017)*(B18*B50-B33*B51)</f>
        <v>-0.01858684926901783</v>
      </c>
      <c r="C72" s="165">
        <f>C17+(12/0.017)*(C18*C50-C33*C51)</f>
        <v>-0.005083676735014484</v>
      </c>
      <c r="D72" s="165">
        <f>D17+(12/0.017)*(D18*D50-D33*D51)</f>
        <v>-0.0033233492984418673</v>
      </c>
      <c r="E72" s="165">
        <f>E17+(12/0.017)*(E18*E50-E33*E51)</f>
        <v>-0.007527588364040879</v>
      </c>
      <c r="F72" s="165">
        <f>F17+(12/0.017)*(F18*F50-F33*F51)</f>
        <v>-0.003474847629125106</v>
      </c>
    </row>
    <row r="73" spans="1:6" ht="12.75">
      <c r="A73" s="165" t="s">
        <v>168</v>
      </c>
      <c r="B73" s="165">
        <f>B18+(13/0.017)*(B19*B50-B34*B51)</f>
        <v>0.01975045792373485</v>
      </c>
      <c r="C73" s="165">
        <f>C18+(13/0.017)*(C19*C50-C34*C51)</f>
        <v>0.042048733347934304</v>
      </c>
      <c r="D73" s="165">
        <f>D18+(13/0.017)*(D19*D50-D34*D51)</f>
        <v>0.03086918980748695</v>
      </c>
      <c r="E73" s="165">
        <f>E18+(13/0.017)*(E19*E50-E34*E51)</f>
        <v>0.026344489826646292</v>
      </c>
      <c r="F73" s="165">
        <f>F18+(13/0.017)*(F19*F50-F34*F51)</f>
        <v>0.005534586994811514</v>
      </c>
    </row>
    <row r="74" spans="1:6" ht="12.75">
      <c r="A74" s="165" t="s">
        <v>169</v>
      </c>
      <c r="B74" s="165">
        <f>B19+(14/0.017)*(B20*B50-B35*B51)</f>
        <v>-0.19099129385412675</v>
      </c>
      <c r="C74" s="165">
        <f>C19+(14/0.017)*(C20*C50-C35*C51)</f>
        <v>-0.16443495014799406</v>
      </c>
      <c r="D74" s="165">
        <f>D19+(14/0.017)*(D20*D50-D35*D51)</f>
        <v>-0.16834974197747712</v>
      </c>
      <c r="E74" s="165">
        <f>E19+(14/0.017)*(E20*E50-E35*E51)</f>
        <v>-0.15473771447609025</v>
      </c>
      <c r="F74" s="165">
        <f>F19+(14/0.017)*(F20*F50-F35*F51)</f>
        <v>-0.13033813559940824</v>
      </c>
    </row>
    <row r="75" spans="1:6" ht="12.75">
      <c r="A75" s="165" t="s">
        <v>170</v>
      </c>
      <c r="B75" s="166">
        <f>B20</f>
        <v>-0.004030602</v>
      </c>
      <c r="C75" s="166">
        <f>C20</f>
        <v>-0.0001969312</v>
      </c>
      <c r="D75" s="166">
        <f>D20</f>
        <v>0.00218534</v>
      </c>
      <c r="E75" s="166">
        <f>E20</f>
        <v>0.003791968</v>
      </c>
      <c r="F75" s="166">
        <f>F20</f>
        <v>0.002315403</v>
      </c>
    </row>
    <row r="78" ht="12.75">
      <c r="A78" s="165" t="s">
        <v>152</v>
      </c>
    </row>
    <row r="80" spans="2:6" ht="12.75">
      <c r="B80" s="165" t="s">
        <v>83</v>
      </c>
      <c r="C80" s="165" t="s">
        <v>84</v>
      </c>
      <c r="D80" s="165" t="s">
        <v>85</v>
      </c>
      <c r="E80" s="165" t="s">
        <v>86</v>
      </c>
      <c r="F80" s="165" t="s">
        <v>87</v>
      </c>
    </row>
    <row r="81" spans="1:6" ht="12.75">
      <c r="A81" s="165" t="s">
        <v>171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172</v>
      </c>
      <c r="B82" s="165">
        <f>B22+(2/0.017)*(B8*B51+B23*B50)</f>
        <v>153.03364129641326</v>
      </c>
      <c r="C82" s="165">
        <f>C22+(2/0.017)*(C8*C51+C23*C50)</f>
        <v>73.59539864817334</v>
      </c>
      <c r="D82" s="165">
        <f>D22+(2/0.017)*(D8*D51+D23*D50)</f>
        <v>2.0069397250746657</v>
      </c>
      <c r="E82" s="165">
        <f>E22+(2/0.017)*(E8*E51+E23*E50)</f>
        <v>-87.82050194248168</v>
      </c>
      <c r="F82" s="165">
        <f>F22+(2/0.017)*(F8*F51+F23*F50)</f>
        <v>-145.21023636047443</v>
      </c>
    </row>
    <row r="83" spans="1:6" ht="12.75">
      <c r="A83" s="165" t="s">
        <v>173</v>
      </c>
      <c r="B83" s="165">
        <f>B23+(3/0.017)*(B9*B51+B24*B50)</f>
        <v>-4.760494207149478</v>
      </c>
      <c r="C83" s="165">
        <f>C23+(3/0.017)*(C9*C51+C24*C50)</f>
        <v>-5.71313494676492</v>
      </c>
      <c r="D83" s="165">
        <f>D23+(3/0.017)*(D9*D51+D24*D50)</f>
        <v>-3.4728801822802207</v>
      </c>
      <c r="E83" s="165">
        <f>E23+(3/0.017)*(E9*E51+E24*E50)</f>
        <v>-3.503585764117268</v>
      </c>
      <c r="F83" s="165">
        <f>F23+(3/0.017)*(F9*F51+F24*F50)</f>
        <v>4.05391943351456</v>
      </c>
    </row>
    <row r="84" spans="1:6" ht="12.75">
      <c r="A84" s="165" t="s">
        <v>174</v>
      </c>
      <c r="B84" s="165">
        <f>B24+(4/0.017)*(B10*B51+B25*B50)</f>
        <v>0.15995290441899404</v>
      </c>
      <c r="C84" s="165">
        <f>C24+(4/0.017)*(C10*C51+C25*C50)</f>
        <v>-3.3074845663076826</v>
      </c>
      <c r="D84" s="165">
        <f>D24+(4/0.017)*(D10*D51+D25*D50)</f>
        <v>-2.3975376255901195</v>
      </c>
      <c r="E84" s="165">
        <f>E24+(4/0.017)*(E10*E51+E25*E50)</f>
        <v>-2.1417220794151075</v>
      </c>
      <c r="F84" s="165">
        <f>F24+(4/0.017)*(F10*F51+F25*F50)</f>
        <v>0.3774534764062414</v>
      </c>
    </row>
    <row r="85" spans="1:6" ht="12.75">
      <c r="A85" s="165" t="s">
        <v>175</v>
      </c>
      <c r="B85" s="165">
        <f>B25+(5/0.017)*(B11*B51+B26*B50)</f>
        <v>0.363500049898937</v>
      </c>
      <c r="C85" s="165">
        <f>C25+(5/0.017)*(C11*C51+C26*C50)</f>
        <v>-0.9219477241086566</v>
      </c>
      <c r="D85" s="165">
        <f>D25+(5/0.017)*(D11*D51+D26*D50)</f>
        <v>-0.4742115434464518</v>
      </c>
      <c r="E85" s="165">
        <f>E25+(5/0.017)*(E11*E51+E26*E50)</f>
        <v>-0.31076500368625054</v>
      </c>
      <c r="F85" s="165">
        <f>F25+(5/0.017)*(F11*F51+F26*F50)</f>
        <v>-1.037363405286363</v>
      </c>
    </row>
    <row r="86" spans="1:6" ht="12.75">
      <c r="A86" s="165" t="s">
        <v>176</v>
      </c>
      <c r="B86" s="165">
        <f>B26+(6/0.017)*(B12*B51+B27*B50)</f>
        <v>0.8192174620699652</v>
      </c>
      <c r="C86" s="165">
        <f>C26+(6/0.017)*(C12*C51+C27*C50)</f>
        <v>0.5630274584235799</v>
      </c>
      <c r="D86" s="165">
        <f>D26+(6/0.017)*(D12*D51+D27*D50)</f>
        <v>0.5210990173631683</v>
      </c>
      <c r="E86" s="165">
        <f>E26+(6/0.017)*(E12*E51+E27*E50)</f>
        <v>0.140716871198544</v>
      </c>
      <c r="F86" s="165">
        <f>F26+(6/0.017)*(F12*F51+F27*F50)</f>
        <v>1.6023737225914674</v>
      </c>
    </row>
    <row r="87" spans="1:6" ht="12.75">
      <c r="A87" s="165" t="s">
        <v>177</v>
      </c>
      <c r="B87" s="165">
        <f>B27+(7/0.017)*(B13*B51+B28*B50)</f>
        <v>-0.1759361826623408</v>
      </c>
      <c r="C87" s="165">
        <f>C27+(7/0.017)*(C13*C51+C28*C50)</f>
        <v>-0.12977903718612083</v>
      </c>
      <c r="D87" s="165">
        <f>D27+(7/0.017)*(D13*D51+D28*D50)</f>
        <v>-0.12381656208417838</v>
      </c>
      <c r="E87" s="165">
        <f>E27+(7/0.017)*(E13*E51+E28*E50)</f>
        <v>0.0024864445683037573</v>
      </c>
      <c r="F87" s="165">
        <f>F27+(7/0.017)*(F13*F51+F28*F50)</f>
        <v>0.28922062704875295</v>
      </c>
    </row>
    <row r="88" spans="1:6" ht="12.75">
      <c r="A88" s="165" t="s">
        <v>178</v>
      </c>
      <c r="B88" s="165">
        <f>B28+(8/0.017)*(B14*B51+B29*B50)</f>
        <v>-0.2840737975354741</v>
      </c>
      <c r="C88" s="165">
        <f>C28+(8/0.017)*(C14*C51+C29*C50)</f>
        <v>-0.2140014561015562</v>
      </c>
      <c r="D88" s="165">
        <f>D28+(8/0.017)*(D14*D51+D29*D50)</f>
        <v>-0.26787501736041935</v>
      </c>
      <c r="E88" s="165">
        <f>E28+(8/0.017)*(E14*E51+E29*E50)</f>
        <v>-0.22531348474297955</v>
      </c>
      <c r="F88" s="165">
        <f>F28+(8/0.017)*(F14*F51+F29*F50)</f>
        <v>0.2760476911524927</v>
      </c>
    </row>
    <row r="89" spans="1:6" ht="12.75">
      <c r="A89" s="165" t="s">
        <v>179</v>
      </c>
      <c r="B89" s="165">
        <f>B29+(9/0.017)*(B15*B51+B30*B50)</f>
        <v>0.08119406309796662</v>
      </c>
      <c r="C89" s="165">
        <f>C29+(9/0.017)*(C15*C51+C30*C50)</f>
        <v>-0.07452905597105726</v>
      </c>
      <c r="D89" s="165">
        <f>D29+(9/0.017)*(D15*D51+D30*D50)</f>
        <v>-0.004147529521029215</v>
      </c>
      <c r="E89" s="165">
        <f>E29+(9/0.017)*(E15*E51+E30*E50)</f>
        <v>-0.008747702225534164</v>
      </c>
      <c r="F89" s="165">
        <f>F29+(9/0.017)*(F15*F51+F30*F50)</f>
        <v>-0.10882850684291885</v>
      </c>
    </row>
    <row r="90" spans="1:6" ht="12.75">
      <c r="A90" s="165" t="s">
        <v>180</v>
      </c>
      <c r="B90" s="165">
        <f>B30+(10/0.017)*(B16*B51+B31*B50)</f>
        <v>0.07727033212695802</v>
      </c>
      <c r="C90" s="165">
        <f>C30+(10/0.017)*(C16*C51+C31*C50)</f>
        <v>0.04527070336227899</v>
      </c>
      <c r="D90" s="165">
        <f>D30+(10/0.017)*(D16*D51+D31*D50)</f>
        <v>0.03173130894963964</v>
      </c>
      <c r="E90" s="165">
        <f>E30+(10/0.017)*(E16*E51+E31*E50)</f>
        <v>0.035736057144187414</v>
      </c>
      <c r="F90" s="165">
        <f>F30+(10/0.017)*(F16*F51+F31*F50)</f>
        <v>0.4187425514158826</v>
      </c>
    </row>
    <row r="91" spans="1:6" ht="12.75">
      <c r="A91" s="165" t="s">
        <v>181</v>
      </c>
      <c r="B91" s="165">
        <f>B31+(11/0.017)*(B17*B51+B32*B50)</f>
        <v>-0.0016806205222627108</v>
      </c>
      <c r="C91" s="165">
        <f>C31+(11/0.017)*(C17*C51+C32*C50)</f>
        <v>0.035624338887221</v>
      </c>
      <c r="D91" s="165">
        <f>D31+(11/0.017)*(D17*D51+D32*D50)</f>
        <v>0.00789617028349457</v>
      </c>
      <c r="E91" s="165">
        <f>E31+(11/0.017)*(E17*E51+E32*E50)</f>
        <v>-0.010399826739587292</v>
      </c>
      <c r="F91" s="165">
        <f>F31+(11/0.017)*(F17*F51+F32*F50)</f>
        <v>0.0343075585300029</v>
      </c>
    </row>
    <row r="92" spans="1:6" ht="12.75">
      <c r="A92" s="165" t="s">
        <v>182</v>
      </c>
      <c r="B92" s="165">
        <f>B32+(12/0.017)*(B18*B51+B33*B50)</f>
        <v>-0.010952208558360457</v>
      </c>
      <c r="C92" s="165">
        <f>C32+(12/0.017)*(C18*C51+C33*C50)</f>
        <v>0.011999451566639568</v>
      </c>
      <c r="D92" s="165">
        <f>D32+(12/0.017)*(D18*D51+D33*D50)</f>
        <v>-0.02189808643545112</v>
      </c>
      <c r="E92" s="165">
        <f>E32+(12/0.017)*(E18*E51+E33*E50)</f>
        <v>-0.013720247509346818</v>
      </c>
      <c r="F92" s="165">
        <f>F32+(12/0.017)*(F18*F51+F33*F50)</f>
        <v>0.034886742371648384</v>
      </c>
    </row>
    <row r="93" spans="1:6" ht="12.75">
      <c r="A93" s="165" t="s">
        <v>183</v>
      </c>
      <c r="B93" s="165">
        <f>B33+(13/0.017)*(B19*B51+B34*B50)</f>
        <v>0.0578004082897292</v>
      </c>
      <c r="C93" s="165">
        <f>C33+(13/0.017)*(C19*C51+C34*C50)</f>
        <v>0.03870655265017547</v>
      </c>
      <c r="D93" s="165">
        <f>D33+(13/0.017)*(D19*D51+D34*D50)</f>
        <v>0.03694470808587148</v>
      </c>
      <c r="E93" s="165">
        <f>E33+(13/0.017)*(E19*E51+E34*E50)</f>
        <v>0.03474929064848748</v>
      </c>
      <c r="F93" s="165">
        <f>F33+(13/0.017)*(F19*F51+F34*F50)</f>
        <v>0.020136025278003244</v>
      </c>
    </row>
    <row r="94" spans="1:6" ht="12.75">
      <c r="A94" s="165" t="s">
        <v>184</v>
      </c>
      <c r="B94" s="165">
        <f>B34+(14/0.017)*(B20*B51+B35*B50)</f>
        <v>-0.01023424528758245</v>
      </c>
      <c r="C94" s="165">
        <f>C34+(14/0.017)*(C20*C51+C35*C50)</f>
        <v>0.011426266564710602</v>
      </c>
      <c r="D94" s="165">
        <f>D34+(14/0.017)*(D20*D51+D35*D50)</f>
        <v>0.01598075795871087</v>
      </c>
      <c r="E94" s="165">
        <f>E34+(14/0.017)*(E20*E51+E35*E50)</f>
        <v>0.02501621816071788</v>
      </c>
      <c r="F94" s="165">
        <f>F34+(14/0.017)*(F20*F51+F35*F50)</f>
        <v>0.010663005679660751</v>
      </c>
    </row>
    <row r="95" spans="1:6" ht="12.75">
      <c r="A95" s="165" t="s">
        <v>185</v>
      </c>
      <c r="B95" s="166">
        <f>B35</f>
        <v>-0.001631161</v>
      </c>
      <c r="C95" s="166">
        <f>C35</f>
        <v>-0.0006963183</v>
      </c>
      <c r="D95" s="166">
        <f>D35</f>
        <v>-0.001588258</v>
      </c>
      <c r="E95" s="166">
        <f>E35</f>
        <v>-0.003263502</v>
      </c>
      <c r="F95" s="166">
        <f>F35</f>
        <v>0.001778467</v>
      </c>
    </row>
    <row r="98" ht="12.75">
      <c r="A98" s="165" t="s">
        <v>153</v>
      </c>
    </row>
    <row r="100" spans="2:11" ht="12.75">
      <c r="B100" s="165" t="s">
        <v>83</v>
      </c>
      <c r="C100" s="165" t="s">
        <v>84</v>
      </c>
      <c r="D100" s="165" t="s">
        <v>85</v>
      </c>
      <c r="E100" s="165" t="s">
        <v>86</v>
      </c>
      <c r="F100" s="165" t="s">
        <v>87</v>
      </c>
      <c r="G100" s="165" t="s">
        <v>155</v>
      </c>
      <c r="H100" s="165" t="s">
        <v>156</v>
      </c>
      <c r="I100" s="165" t="s">
        <v>151</v>
      </c>
      <c r="K100" s="165" t="s">
        <v>186</v>
      </c>
    </row>
    <row r="101" spans="1:9" ht="12.75">
      <c r="A101" s="165" t="s">
        <v>154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157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</v>
      </c>
    </row>
    <row r="103" spans="1:11" ht="12.75">
      <c r="A103" s="165" t="s">
        <v>158</v>
      </c>
      <c r="B103" s="165">
        <f>B63*10000/B62</f>
        <v>0.6365506861278566</v>
      </c>
      <c r="C103" s="165">
        <f>C63*10000/C62</f>
        <v>1.9885293887552788</v>
      </c>
      <c r="D103" s="165">
        <f>D63*10000/D62</f>
        <v>0.13166564132078226</v>
      </c>
      <c r="E103" s="165">
        <f>E63*10000/E62</f>
        <v>0.5458502792152494</v>
      </c>
      <c r="F103" s="165">
        <f>F63*10000/F62</f>
        <v>-6.232981220984082</v>
      </c>
      <c r="G103" s="165">
        <f>AVERAGE(C103:E103)</f>
        <v>0.8886817697637701</v>
      </c>
      <c r="H103" s="165">
        <f>STDEV(C103:E103)</f>
        <v>0.9747491048048781</v>
      </c>
      <c r="I103" s="165">
        <f>(B103*B4+C103*C4+D103*D4+E103*E4+F103*F4)/SUM(B4:F4)</f>
        <v>-0.0973725303742157</v>
      </c>
      <c r="K103" s="165">
        <f>(LN(H103)+LN(H123))/2-LN(K114*K115^3)</f>
        <v>-3.766094558526959</v>
      </c>
    </row>
    <row r="104" spans="1:11" ht="12.75">
      <c r="A104" s="165" t="s">
        <v>159</v>
      </c>
      <c r="B104" s="165">
        <f>B64*10000/B62</f>
        <v>0.04511435129403637</v>
      </c>
      <c r="C104" s="165">
        <f>C64*10000/C62</f>
        <v>0.7605601443901673</v>
      </c>
      <c r="D104" s="165">
        <f>D64*10000/D62</f>
        <v>0.6400016266946508</v>
      </c>
      <c r="E104" s="165">
        <f>E64*10000/E62</f>
        <v>0.365716850796833</v>
      </c>
      <c r="F104" s="165">
        <f>F64*10000/F62</f>
        <v>-2.5085468142126213</v>
      </c>
      <c r="G104" s="165">
        <f>AVERAGE(C104:E104)</f>
        <v>0.5887595406272169</v>
      </c>
      <c r="H104" s="165">
        <f>STDEV(C104:E104)</f>
        <v>0.20234777034184195</v>
      </c>
      <c r="I104" s="165">
        <f>(B104*B4+C104*C4+D104*D4+E104*E4+F104*F4)/SUM(B4:F4)</f>
        <v>0.0970332284351941</v>
      </c>
      <c r="K104" s="165">
        <f>(LN(H104)+LN(H124))/2-LN(K114*K115^4)</f>
        <v>-4.3310499822275315</v>
      </c>
    </row>
    <row r="105" spans="1:11" ht="12.75">
      <c r="A105" s="165" t="s">
        <v>160</v>
      </c>
      <c r="B105" s="165">
        <f>B65*10000/B62</f>
        <v>-0.2153050450571829</v>
      </c>
      <c r="C105" s="165">
        <f>C65*10000/C62</f>
        <v>-0.7299024783868706</v>
      </c>
      <c r="D105" s="165">
        <f>D65*10000/D62</f>
        <v>-0.13257964682934062</v>
      </c>
      <c r="E105" s="165">
        <f>E65*10000/E62</f>
        <v>-0.42784765427234367</v>
      </c>
      <c r="F105" s="165">
        <f>F65*10000/F62</f>
        <v>-0.5068917792080625</v>
      </c>
      <c r="G105" s="165">
        <f>AVERAGE(C105:E105)</f>
        <v>-0.43010992649618496</v>
      </c>
      <c r="H105" s="165">
        <f>STDEV(C105:E105)</f>
        <v>0.29866784172670385</v>
      </c>
      <c r="I105" s="165">
        <f>(B105*B4+C105*C4+D105*D4+E105*E4+F105*F4)/SUM(B4:F4)</f>
        <v>-0.4092254285294846</v>
      </c>
      <c r="K105" s="165">
        <f>(LN(H105)+LN(H125))/2-LN(K114*K115^5)</f>
        <v>-3.8754760017003265</v>
      </c>
    </row>
    <row r="106" spans="1:11" ht="12.75">
      <c r="A106" s="165" t="s">
        <v>161</v>
      </c>
      <c r="B106" s="165">
        <f>B66*10000/B62</f>
        <v>4.4469986883461186</v>
      </c>
      <c r="C106" s="165">
        <f>C66*10000/C62</f>
        <v>3.314081800693877</v>
      </c>
      <c r="D106" s="165">
        <f>D66*10000/D62</f>
        <v>3.2737873958264845</v>
      </c>
      <c r="E106" s="165">
        <f>E66*10000/E62</f>
        <v>2.8843588251907195</v>
      </c>
      <c r="F106" s="165">
        <f>F66*10000/F62</f>
        <v>14.69387336291762</v>
      </c>
      <c r="G106" s="165">
        <f>AVERAGE(C106:E106)</f>
        <v>3.1574093405703603</v>
      </c>
      <c r="H106" s="165">
        <f>STDEV(C106:E106)</f>
        <v>0.23732540472465477</v>
      </c>
      <c r="I106" s="165">
        <f>(B106*B4+C106*C4+D106*D4+E106*E4+F106*F4)/SUM(B4:F4)</f>
        <v>4.8823957914848</v>
      </c>
      <c r="K106" s="165">
        <f>(LN(H106)+LN(H126))/2-LN(K114*K115^6)</f>
        <v>-3.552848591381344</v>
      </c>
    </row>
    <row r="107" spans="1:11" ht="12.75">
      <c r="A107" s="165" t="s">
        <v>162</v>
      </c>
      <c r="B107" s="165">
        <f>B67*10000/B62</f>
        <v>0.012102492774922594</v>
      </c>
      <c r="C107" s="165">
        <f>C67*10000/C62</f>
        <v>-0.16536089370832097</v>
      </c>
      <c r="D107" s="165">
        <f>D67*10000/D62</f>
        <v>-0.25514394788649297</v>
      </c>
      <c r="E107" s="165">
        <f>E67*10000/E62</f>
        <v>-0.15718540735322045</v>
      </c>
      <c r="F107" s="165">
        <f>F67*10000/F62</f>
        <v>-0.4812466919996579</v>
      </c>
      <c r="G107" s="165">
        <f>AVERAGE(C107:E107)</f>
        <v>-0.19256341631601148</v>
      </c>
      <c r="H107" s="165">
        <f>STDEV(C107:E107)</f>
        <v>0.05435026994430316</v>
      </c>
      <c r="I107" s="165">
        <f>(B107*B4+C107*C4+D107*D4+E107*E4+F107*F4)/SUM(B4:F4)</f>
        <v>-0.20140050752006175</v>
      </c>
      <c r="K107" s="165">
        <f>(LN(H107)+LN(H127))/2-LN(K114*K115^7)</f>
        <v>-4.2665738642176745</v>
      </c>
    </row>
    <row r="108" spans="1:9" ht="12.75">
      <c r="A108" s="165" t="s">
        <v>163</v>
      </c>
      <c r="B108" s="165">
        <f>B68*10000/B62</f>
        <v>0.011109610551658032</v>
      </c>
      <c r="C108" s="165">
        <f>C68*10000/C62</f>
        <v>0.17522191028857254</v>
      </c>
      <c r="D108" s="165">
        <f>D68*10000/D62</f>
        <v>0.04469286161792414</v>
      </c>
      <c r="E108" s="165">
        <f>E68*10000/E62</f>
        <v>-0.05677535596938694</v>
      </c>
      <c r="F108" s="165">
        <f>F68*10000/F62</f>
        <v>-0.18411673776487186</v>
      </c>
      <c r="G108" s="165">
        <f>AVERAGE(C108:E108)</f>
        <v>0.05437980531236991</v>
      </c>
      <c r="H108" s="165">
        <f>STDEV(C108:E108)</f>
        <v>0.11630159305184154</v>
      </c>
      <c r="I108" s="165">
        <f>(B108*B4+C108*C4+D108*D4+E108*E4+F108*F4)/SUM(B4:F4)</f>
        <v>0.01631213619269101</v>
      </c>
    </row>
    <row r="109" spans="1:9" ht="12.75">
      <c r="A109" s="165" t="s">
        <v>164</v>
      </c>
      <c r="B109" s="165">
        <f>B69*10000/B62</f>
        <v>-0.0979697855545637</v>
      </c>
      <c r="C109" s="165">
        <f>C69*10000/C62</f>
        <v>-0.08602952873588554</v>
      </c>
      <c r="D109" s="165">
        <f>D69*10000/D62</f>
        <v>-0.08830686138591544</v>
      </c>
      <c r="E109" s="165">
        <f>E69*10000/E62</f>
        <v>-0.14381656087772338</v>
      </c>
      <c r="F109" s="165">
        <f>F69*10000/F62</f>
        <v>-0.21685127640652832</v>
      </c>
      <c r="G109" s="165">
        <f>AVERAGE(C109:E109)</f>
        <v>-0.10605098366650811</v>
      </c>
      <c r="H109" s="165">
        <f>STDEV(C109:E109)</f>
        <v>0.03272576473624292</v>
      </c>
      <c r="I109" s="165">
        <f>(B109*B4+C109*C4+D109*D4+E109*E4+F109*F4)/SUM(B4:F4)</f>
        <v>-0.11965304708173238</v>
      </c>
    </row>
    <row r="110" spans="1:11" ht="12.75">
      <c r="A110" s="165" t="s">
        <v>165</v>
      </c>
      <c r="B110" s="165">
        <f>B70*10000/B62</f>
        <v>-0.3606776226661541</v>
      </c>
      <c r="C110" s="165">
        <f>C70*10000/C62</f>
        <v>-0.11773746045331737</v>
      </c>
      <c r="D110" s="165">
        <f>D70*10000/D62</f>
        <v>-0.09562665657679635</v>
      </c>
      <c r="E110" s="165">
        <f>E70*10000/E62</f>
        <v>-0.14565287678095776</v>
      </c>
      <c r="F110" s="165">
        <f>F70*10000/F62</f>
        <v>-0.34236907513547293</v>
      </c>
      <c r="G110" s="165">
        <f>AVERAGE(C110:E110)</f>
        <v>-0.11967233127035715</v>
      </c>
      <c r="H110" s="165">
        <f>STDEV(C110:E110)</f>
        <v>0.025069173715696863</v>
      </c>
      <c r="I110" s="165">
        <f>(B110*B4+C110*C4+D110*D4+E110*E4+F110*F4)/SUM(B4:F4)</f>
        <v>-0.18428204238142146</v>
      </c>
      <c r="K110" s="165">
        <f>EXP(AVERAGE(K103:K107))</f>
        <v>0.01909347549112003</v>
      </c>
    </row>
    <row r="111" spans="1:9" ht="12.75">
      <c r="A111" s="165" t="s">
        <v>166</v>
      </c>
      <c r="B111" s="165">
        <f>B71*10000/B62</f>
        <v>-0.007433813343614422</v>
      </c>
      <c r="C111" s="165">
        <f>C71*10000/C62</f>
        <v>-0.007593501173102474</v>
      </c>
      <c r="D111" s="165">
        <f>D71*10000/D62</f>
        <v>0.02664149875200123</v>
      </c>
      <c r="E111" s="165">
        <f>E71*10000/E62</f>
        <v>0.02616574184251351</v>
      </c>
      <c r="F111" s="165">
        <f>F71*10000/F62</f>
        <v>0.03263921601610157</v>
      </c>
      <c r="G111" s="165">
        <f>AVERAGE(C111:E111)</f>
        <v>0.01507124647380409</v>
      </c>
      <c r="H111" s="165">
        <f>STDEV(C111:E111)</f>
        <v>0.019629688626738296</v>
      </c>
      <c r="I111" s="165">
        <f>(B111*B4+C111*C4+D111*D4+E111*E4+F111*F4)/SUM(B4:F4)</f>
        <v>0.014152948408034305</v>
      </c>
    </row>
    <row r="112" spans="1:9" ht="12.75">
      <c r="A112" s="165" t="s">
        <v>167</v>
      </c>
      <c r="B112" s="165">
        <f>B72*10000/B62</f>
        <v>-0.01858666059914712</v>
      </c>
      <c r="C112" s="165">
        <f>C72*10000/C62</f>
        <v>-0.005083705858195978</v>
      </c>
      <c r="D112" s="165">
        <f>D72*10000/D62</f>
        <v>-0.0033233797412441464</v>
      </c>
      <c r="E112" s="165">
        <f>E72*10000/E62</f>
        <v>-0.007527572543239902</v>
      </c>
      <c r="F112" s="165">
        <f>F72*10000/F62</f>
        <v>-0.003474904292758769</v>
      </c>
      <c r="G112" s="165">
        <f>AVERAGE(C112:E112)</f>
        <v>-0.005311552714226675</v>
      </c>
      <c r="H112" s="165">
        <f>STDEV(C112:E112)</f>
        <v>0.002111337235365429</v>
      </c>
      <c r="I112" s="165">
        <f>(B112*B4+C112*C4+D112*D4+E112*E4+F112*F4)/SUM(B4:F4)</f>
        <v>-0.006990022333232748</v>
      </c>
    </row>
    <row r="113" spans="1:9" ht="12.75">
      <c r="A113" s="165" t="s">
        <v>168</v>
      </c>
      <c r="B113" s="165">
        <f>B73*10000/B62</f>
        <v>0.019750257442400495</v>
      </c>
      <c r="C113" s="165">
        <f>C73*10000/C62</f>
        <v>0.04204897423518121</v>
      </c>
      <c r="D113" s="165">
        <f>D73*10000/D62</f>
        <v>0.030869472577836208</v>
      </c>
      <c r="E113" s="165">
        <f>E73*10000/E62</f>
        <v>0.026344434458192248</v>
      </c>
      <c r="F113" s="165">
        <f>F73*10000/F62</f>
        <v>0.005534677246196156</v>
      </c>
      <c r="G113" s="165">
        <f>AVERAGE(C113:E113)</f>
        <v>0.03308762709040322</v>
      </c>
      <c r="H113" s="165">
        <f>STDEV(C113:E113)</f>
        <v>0.008083829506055478</v>
      </c>
      <c r="I113" s="165">
        <f>(B113*B4+C113*C4+D113*D4+E113*E4+F113*F4)/SUM(B4:F4)</f>
        <v>0.027481649421770518</v>
      </c>
    </row>
    <row r="114" spans="1:11" ht="12.75">
      <c r="A114" s="165" t="s">
        <v>169</v>
      </c>
      <c r="B114" s="165">
        <f>B74*10000/B62</f>
        <v>-0.1909893551553082</v>
      </c>
      <c r="C114" s="165">
        <f>C74*10000/C62</f>
        <v>-0.16443589215692708</v>
      </c>
      <c r="D114" s="165">
        <f>D74*10000/D62</f>
        <v>-0.1683512841078548</v>
      </c>
      <c r="E114" s="165">
        <f>E74*10000/E62</f>
        <v>-0.15473738926242736</v>
      </c>
      <c r="F114" s="165">
        <f>F74*10000/F62</f>
        <v>-0.13034026099688065</v>
      </c>
      <c r="G114" s="165">
        <f>AVERAGE(C114:E114)</f>
        <v>-0.16250818850906976</v>
      </c>
      <c r="H114" s="165">
        <f>STDEV(C114:E114)</f>
        <v>0.007008677780513019</v>
      </c>
      <c r="I114" s="165">
        <f>(B114*B4+C114*C4+D114*D4+E114*E4+F114*F4)/SUM(B4:F4)</f>
        <v>-0.16234572912261086</v>
      </c>
      <c r="J114" s="165" t="s">
        <v>187</v>
      </c>
      <c r="K114" s="165">
        <v>285</v>
      </c>
    </row>
    <row r="115" spans="1:11" ht="12.75">
      <c r="A115" s="165" t="s">
        <v>170</v>
      </c>
      <c r="B115" s="165">
        <f>B75*10000/B62</f>
        <v>-0.004030561086494585</v>
      </c>
      <c r="C115" s="165">
        <f>C75*10000/C62</f>
        <v>-0.00019693232817226161</v>
      </c>
      <c r="D115" s="165">
        <f>D75*10000/D62</f>
        <v>0.002185360018321145</v>
      </c>
      <c r="E115" s="165">
        <f>E75*10000/E62</f>
        <v>0.003791960030386341</v>
      </c>
      <c r="F115" s="165">
        <f>F75*10000/F62</f>
        <v>0.0023154407568058743</v>
      </c>
      <c r="G115" s="165">
        <f>AVERAGE(C115:E115)</f>
        <v>0.001926795906845075</v>
      </c>
      <c r="H115" s="165">
        <f>STDEV(C115:E115)</f>
        <v>0.002006977107953491</v>
      </c>
      <c r="I115" s="165">
        <f>(B115*B4+C115*C4+D115*D4+E115*E4+F115*F4)/SUM(B4:F4)</f>
        <v>0.0011154889752364582</v>
      </c>
      <c r="J115" s="165" t="s">
        <v>188</v>
      </c>
      <c r="K115" s="165">
        <v>0.5536</v>
      </c>
    </row>
    <row r="118" ht="12.75">
      <c r="A118" s="165" t="s">
        <v>153</v>
      </c>
    </row>
    <row r="120" spans="2:9" ht="12.75">
      <c r="B120" s="165" t="s">
        <v>83</v>
      </c>
      <c r="C120" s="165" t="s">
        <v>84</v>
      </c>
      <c r="D120" s="165" t="s">
        <v>85</v>
      </c>
      <c r="E120" s="165" t="s">
        <v>86</v>
      </c>
      <c r="F120" s="165" t="s">
        <v>87</v>
      </c>
      <c r="G120" s="165" t="s">
        <v>155</v>
      </c>
      <c r="H120" s="165" t="s">
        <v>156</v>
      </c>
      <c r="I120" s="165" t="s">
        <v>151</v>
      </c>
    </row>
    <row r="121" spans="1:9" ht="12.75">
      <c r="A121" s="165" t="s">
        <v>171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172</v>
      </c>
      <c r="B122" s="165">
        <f>B82*10000/B62</f>
        <v>153.03208789503253</v>
      </c>
      <c r="C122" s="165">
        <f>C82*10000/C62</f>
        <v>73.59582025880353</v>
      </c>
      <c r="D122" s="165">
        <f>D82*10000/D62</f>
        <v>2.0069581091997604</v>
      </c>
      <c r="E122" s="165">
        <f>E82*10000/E62</f>
        <v>-87.82031736933344</v>
      </c>
      <c r="F122" s="165">
        <f>F82*10000/F62</f>
        <v>-145.21260427426964</v>
      </c>
      <c r="G122" s="165">
        <f>AVERAGE(C122:E122)</f>
        <v>-4.072513000443384</v>
      </c>
      <c r="H122" s="165">
        <f>STDEV(C122:E122)</f>
        <v>80.87961639638354</v>
      </c>
      <c r="I122" s="165">
        <f>(B122*B4+C122*C4+D122*D4+E122*E4+F122*F4)/SUM(B4:F4)</f>
        <v>-0.12867459722396565</v>
      </c>
    </row>
    <row r="123" spans="1:9" ht="12.75">
      <c r="A123" s="165" t="s">
        <v>173</v>
      </c>
      <c r="B123" s="165">
        <f>B83*10000/B62</f>
        <v>-4.7604458847138895</v>
      </c>
      <c r="C123" s="165">
        <f>C83*10000/C62</f>
        <v>-5.713167675963613</v>
      </c>
      <c r="D123" s="165">
        <f>D83*10000/D62</f>
        <v>-3.472911994826912</v>
      </c>
      <c r="E123" s="165">
        <f>E83*10000/E62</f>
        <v>-3.503578400599179</v>
      </c>
      <c r="F123" s="165">
        <f>F83*10000/F62</f>
        <v>4.053985539954381</v>
      </c>
      <c r="G123" s="165">
        <f>AVERAGE(C123:E123)</f>
        <v>-4.229886023796568</v>
      </c>
      <c r="H123" s="165">
        <f>STDEV(C123:E123)</f>
        <v>1.2846511012147588</v>
      </c>
      <c r="I123" s="165">
        <f>(B123*B4+C123*C4+D123*D4+E123*E4+F123*F4)/SUM(B4:F4)</f>
        <v>-3.2022748008012973</v>
      </c>
    </row>
    <row r="124" spans="1:9" ht="12.75">
      <c r="A124" s="165" t="s">
        <v>174</v>
      </c>
      <c r="B124" s="165">
        <f>B84*10000/B62</f>
        <v>0.15995128078212262</v>
      </c>
      <c r="C124" s="165">
        <f>C84*10000/C62</f>
        <v>-3.3075035141043925</v>
      </c>
      <c r="D124" s="165">
        <f>D84*10000/D62</f>
        <v>-2.39755958770043</v>
      </c>
      <c r="E124" s="165">
        <f>E84*10000/E62</f>
        <v>-2.14171757813832</v>
      </c>
      <c r="F124" s="165">
        <f>F84*10000/F62</f>
        <v>0.37745963146332434</v>
      </c>
      <c r="G124" s="165">
        <f>AVERAGE(C124:E124)</f>
        <v>-2.6155935599810474</v>
      </c>
      <c r="H124" s="165">
        <f>STDEV(C124:E124)</f>
        <v>0.6127138989164692</v>
      </c>
      <c r="I124" s="165">
        <f>(B124*B4+C124*C4+D124*D4+E124*E4+F124*F4)/SUM(B4:F4)</f>
        <v>-1.814401097262314</v>
      </c>
    </row>
    <row r="125" spans="1:9" ht="12.75">
      <c r="A125" s="165" t="s">
        <v>175</v>
      </c>
      <c r="B125" s="165">
        <f>B85*10000/B62</f>
        <v>0.36349636011233444</v>
      </c>
      <c r="C125" s="165">
        <f>C85*10000/C62</f>
        <v>-0.9219530057290855</v>
      </c>
      <c r="D125" s="165">
        <f>D85*10000/D62</f>
        <v>-0.4742158873558513</v>
      </c>
      <c r="E125" s="165">
        <f>E85*10000/E62</f>
        <v>-0.3107643505486138</v>
      </c>
      <c r="F125" s="165">
        <f>F85*10000/F62</f>
        <v>-1.0373803213604607</v>
      </c>
      <c r="G125" s="165">
        <f>AVERAGE(C125:E125)</f>
        <v>-0.5689777478778502</v>
      </c>
      <c r="H125" s="165">
        <f>STDEV(C125:E125)</f>
        <v>0.31642179241089174</v>
      </c>
      <c r="I125" s="165">
        <f>(B125*B4+C125*C4+D125*D4+E125*E4+F125*F4)/SUM(B4:F4)</f>
        <v>-0.496329017834811</v>
      </c>
    </row>
    <row r="126" spans="1:9" ht="12.75">
      <c r="A126" s="165" t="s">
        <v>176</v>
      </c>
      <c r="B126" s="165">
        <f>B86*10000/B62</f>
        <v>0.8192091464242947</v>
      </c>
      <c r="C126" s="165">
        <f>C86*10000/C62</f>
        <v>0.5630306838747076</v>
      </c>
      <c r="D126" s="165">
        <f>D86*10000/D62</f>
        <v>0.5211037907748469</v>
      </c>
      <c r="E126" s="165">
        <f>E86*10000/E62</f>
        <v>0.14071657545261504</v>
      </c>
      <c r="F126" s="165">
        <f>F86*10000/F62</f>
        <v>1.6023998521739122</v>
      </c>
      <c r="G126" s="165">
        <f>AVERAGE(C126:E126)</f>
        <v>0.4082836833673898</v>
      </c>
      <c r="H126" s="165">
        <f>STDEV(C126:E126)</f>
        <v>0.23266625028065285</v>
      </c>
      <c r="I126" s="165">
        <f>(B126*B4+C126*C4+D126*D4+E126*E4+F126*F4)/SUM(B4:F4)</f>
        <v>0.6270305091942342</v>
      </c>
    </row>
    <row r="127" spans="1:9" ht="12.75">
      <c r="A127" s="165" t="s">
        <v>177</v>
      </c>
      <c r="B127" s="165">
        <f>B87*10000/B62</f>
        <v>-0.1759343967837147</v>
      </c>
      <c r="C127" s="165">
        <f>C87*10000/C62</f>
        <v>-0.12977978065952622</v>
      </c>
      <c r="D127" s="165">
        <f>D87*10000/D62</f>
        <v>-0.12381769627826389</v>
      </c>
      <c r="E127" s="165">
        <f>E87*10000/E62</f>
        <v>0.0024864393425205774</v>
      </c>
      <c r="F127" s="165">
        <f>F87*10000/F62</f>
        <v>0.289225343310704</v>
      </c>
      <c r="G127" s="165">
        <f>AVERAGE(C127:E127)</f>
        <v>-0.08370367919842318</v>
      </c>
      <c r="H127" s="165">
        <f>STDEV(C127:E127)</f>
        <v>0.07470233606199189</v>
      </c>
      <c r="I127" s="165">
        <f>(B127*B4+C127*C4+D127*D4+E127*E4+F127*F4)/SUM(B4:F4)</f>
        <v>-0.047344143304120054</v>
      </c>
    </row>
    <row r="128" spans="1:9" ht="12.75">
      <c r="A128" s="165" t="s">
        <v>178</v>
      </c>
      <c r="B128" s="165">
        <f>B88*10000/B62</f>
        <v>-0.28407091398238354</v>
      </c>
      <c r="C128" s="165">
        <f>C88*10000/C62</f>
        <v>-0.21400268206527712</v>
      </c>
      <c r="D128" s="165">
        <f>D88*10000/D62</f>
        <v>-0.26787747116995203</v>
      </c>
      <c r="E128" s="165">
        <f>E88*10000/E62</f>
        <v>-0.22531301119957794</v>
      </c>
      <c r="F128" s="165">
        <f>F88*10000/F62</f>
        <v>0.2760521926060569</v>
      </c>
      <c r="G128" s="165">
        <f>AVERAGE(C128:E128)</f>
        <v>-0.23573105481160236</v>
      </c>
      <c r="H128" s="165">
        <f>STDEV(C128:E128)</f>
        <v>0.028408184556476493</v>
      </c>
      <c r="I128" s="165">
        <f>(B128*B4+C128*C4+D128*D4+E128*E4+F128*F4)/SUM(B4:F4)</f>
        <v>-0.17449914168167396</v>
      </c>
    </row>
    <row r="129" spans="1:9" ht="12.75">
      <c r="A129" s="165" t="s">
        <v>179</v>
      </c>
      <c r="B129" s="165">
        <f>B89*10000/B62</f>
        <v>0.0811932389199058</v>
      </c>
      <c r="C129" s="165">
        <f>C89*10000/C62</f>
        <v>-0.0745294829303894</v>
      </c>
      <c r="D129" s="165">
        <f>D89*10000/D62</f>
        <v>-0.004147567513551161</v>
      </c>
      <c r="E129" s="165">
        <f>E89*10000/E62</f>
        <v>-0.008747683840408778</v>
      </c>
      <c r="F129" s="165">
        <f>F89*10000/F62</f>
        <v>-0.10883028148724919</v>
      </c>
      <c r="G129" s="165">
        <f>AVERAGE(C129:E129)</f>
        <v>-0.029141578094783113</v>
      </c>
      <c r="H129" s="165">
        <f>STDEV(C129:E129)</f>
        <v>0.03937431518870766</v>
      </c>
      <c r="I129" s="165">
        <f>(B129*B4+C129*C4+D129*D4+E129*E4+F129*F4)/SUM(B4:F4)</f>
        <v>-0.023780668796028404</v>
      </c>
    </row>
    <row r="130" spans="1:9" ht="12.75">
      <c r="A130" s="165" t="s">
        <v>180</v>
      </c>
      <c r="B130" s="165">
        <f>B90*10000/B62</f>
        <v>0.07726954777758492</v>
      </c>
      <c r="C130" s="165">
        <f>C90*10000/C62</f>
        <v>0.04527096270742997</v>
      </c>
      <c r="D130" s="165">
        <f>D90*10000/D62</f>
        <v>0.0317315996172396</v>
      </c>
      <c r="E130" s="165">
        <f>E90*10000/E62</f>
        <v>0.035735982037390854</v>
      </c>
      <c r="F130" s="165">
        <f>F90*10000/F62</f>
        <v>0.4187493797655155</v>
      </c>
      <c r="G130" s="165">
        <f>AVERAGE(C130:E130)</f>
        <v>0.037579514787353475</v>
      </c>
      <c r="H130" s="165">
        <f>STDEV(C130:E130)</f>
        <v>0.0069553970391445525</v>
      </c>
      <c r="I130" s="165">
        <f>(B130*B4+C130*C4+D130*D4+E130*E4+F130*F4)/SUM(B4:F4)</f>
        <v>0.09415097543818124</v>
      </c>
    </row>
    <row r="131" spans="1:9" ht="12.75">
      <c r="A131" s="165" t="s">
        <v>181</v>
      </c>
      <c r="B131" s="165">
        <f>B91*10000/B62</f>
        <v>-0.0016806034627572474</v>
      </c>
      <c r="C131" s="165">
        <f>C91*10000/C62</f>
        <v>0.035624542970631716</v>
      </c>
      <c r="D131" s="165">
        <f>D91*10000/D62</f>
        <v>0.007896242614606686</v>
      </c>
      <c r="E131" s="165">
        <f>E91*10000/E62</f>
        <v>-0.010399804882176778</v>
      </c>
      <c r="F131" s="165">
        <f>F91*10000/F62</f>
        <v>0.03430811797638326</v>
      </c>
      <c r="G131" s="165">
        <f>AVERAGE(C131:E131)</f>
        <v>0.011040326901020544</v>
      </c>
      <c r="H131" s="165">
        <f>STDEV(C131:E131)</f>
        <v>0.02317270157575796</v>
      </c>
      <c r="I131" s="165">
        <f>(B131*B4+C131*C4+D131*D4+E131*E4+F131*F4)/SUM(B4:F4)</f>
        <v>0.012299542604736159</v>
      </c>
    </row>
    <row r="132" spans="1:9" ht="12.75">
      <c r="A132" s="165" t="s">
        <v>182</v>
      </c>
      <c r="B132" s="165">
        <f>B92*10000/B62</f>
        <v>-0.010952097385576797</v>
      </c>
      <c r="C132" s="165">
        <f>C92*10000/C62</f>
        <v>0.011999520308659178</v>
      </c>
      <c r="D132" s="165">
        <f>D92*10000/D62</f>
        <v>-0.021898287028002724</v>
      </c>
      <c r="E132" s="165">
        <f>E92*10000/E62</f>
        <v>-0.01372021867337775</v>
      </c>
      <c r="F132" s="165">
        <f>F92*10000/F62</f>
        <v>0.03488731126266187</v>
      </c>
      <c r="G132" s="165">
        <f>AVERAGE(C132:E132)</f>
        <v>-0.007872995130907098</v>
      </c>
      <c r="H132" s="165">
        <f>STDEV(C132:E132)</f>
        <v>0.017689201590944677</v>
      </c>
      <c r="I132" s="165">
        <f>(B132*B4+C132*C4+D132*D4+E132*E4+F132*F4)/SUM(B4:F4)</f>
        <v>-0.0026179160071008833</v>
      </c>
    </row>
    <row r="133" spans="1:9" ht="12.75">
      <c r="A133" s="165" t="s">
        <v>183</v>
      </c>
      <c r="B133" s="165">
        <f>B93*10000/B62</f>
        <v>0.05779982157406796</v>
      </c>
      <c r="C133" s="165">
        <f>C93*10000/C62</f>
        <v>0.03870677439085974</v>
      </c>
      <c r="D133" s="165">
        <f>D93*10000/D62</f>
        <v>0.036945046509655</v>
      </c>
      <c r="E133" s="165">
        <f>E93*10000/E62</f>
        <v>0.03474921761558705</v>
      </c>
      <c r="F133" s="165">
        <f>F93*10000/F62</f>
        <v>0.020136353632072702</v>
      </c>
      <c r="G133" s="165">
        <f>AVERAGE(C133:E133)</f>
        <v>0.03680034617203393</v>
      </c>
      <c r="H133" s="165">
        <f>STDEV(C133:E133)</f>
        <v>0.0019827424311183806</v>
      </c>
      <c r="I133" s="165">
        <f>(B133*B4+C133*C4+D133*D4+E133*E4+F133*F4)/SUM(B4:F4)</f>
        <v>0.037621035829043255</v>
      </c>
    </row>
    <row r="134" spans="1:9" ht="12.75">
      <c r="A134" s="165" t="s">
        <v>184</v>
      </c>
      <c r="B134" s="165">
        <f>B94*10000/B62</f>
        <v>-0.01023414140264169</v>
      </c>
      <c r="C134" s="165">
        <f>C94*10000/C62</f>
        <v>0.011426332023088919</v>
      </c>
      <c r="D134" s="165">
        <f>D94*10000/D62</f>
        <v>0.01598090434689072</v>
      </c>
      <c r="E134" s="165">
        <f>E94*10000/E62</f>
        <v>0.025016165583904484</v>
      </c>
      <c r="F134" s="165">
        <f>F94*10000/F62</f>
        <v>0.010663179559126</v>
      </c>
      <c r="G134" s="165">
        <f>AVERAGE(C134:E134)</f>
        <v>0.017474467317961373</v>
      </c>
      <c r="H134" s="165">
        <f>STDEV(C134:E134)</f>
        <v>0.006916931531689644</v>
      </c>
      <c r="I134" s="165">
        <f>(B134*B4+C134*C4+D134*D4+E134*E4+F134*F4)/SUM(B4:F4)</f>
        <v>0.012551795950808839</v>
      </c>
    </row>
    <row r="135" spans="1:9" ht="12.75">
      <c r="A135" s="165" t="s">
        <v>185</v>
      </c>
      <c r="B135" s="165">
        <f>B95*10000/B62</f>
        <v>-0.0016311444425442135</v>
      </c>
      <c r="C135" s="165">
        <f>C95*10000/C62</f>
        <v>-0.0006963222890428297</v>
      </c>
      <c r="D135" s="165">
        <f>D95*10000/D62</f>
        <v>-0.001588272548884249</v>
      </c>
      <c r="E135" s="165">
        <f>E95*10000/E62</f>
        <v>-0.0032634951410681436</v>
      </c>
      <c r="F135" s="165">
        <f>F95*10000/F62</f>
        <v>0.00177849600109971</v>
      </c>
      <c r="G135" s="165">
        <f>AVERAGE(C135:E135)</f>
        <v>-0.0018493633263317408</v>
      </c>
      <c r="H135" s="165">
        <f>STDEV(C135:E135)</f>
        <v>0.0013033496877642037</v>
      </c>
      <c r="I135" s="165">
        <f>(B135*B4+C135*C4+D135*D4+E135*E4+F135*F4)/SUM(B4:F4)</f>
        <v>-0.0013340478915016233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2003-12-03T07:15:00Z</cp:lastPrinted>
  <dcterms:created xsi:type="dcterms:W3CDTF">1999-06-17T15:15:05Z</dcterms:created>
  <dcterms:modified xsi:type="dcterms:W3CDTF">2005-10-05T15:06:07Z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