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2" activeTab="7"/>
  </bookViews>
  <sheets>
    <sheet name="Sommaire" sheetId="1" r:id="rId1"/>
    <sheet name="HCMQAP144_pos1ap2" sheetId="2" r:id="rId2"/>
    <sheet name="HCMQAP144_pos2ap2" sheetId="3" r:id="rId3"/>
    <sheet name="HCMQAP144_pos3ap2" sheetId="4" r:id="rId4"/>
    <sheet name="HCMQAP144_pos4ap2" sheetId="5" r:id="rId5"/>
    <sheet name="HCMQAP144_pos5ap2" sheetId="6" r:id="rId6"/>
    <sheet name="Lmag_hcmqap" sheetId="7" r:id="rId7"/>
    <sheet name="Result_HCMQAP" sheetId="8" r:id="rId8"/>
  </sheets>
  <definedNames>
    <definedName name="_xlnm.Print_Area" localSheetId="1">'HCMQAP144_pos1ap2'!$A$1:$N$28</definedName>
    <definedName name="_xlnm.Print_Area" localSheetId="2">'HCMQAP144_pos2ap2'!$A$1:$N$28</definedName>
    <definedName name="_xlnm.Print_Area" localSheetId="3">'HCMQAP144_pos3ap2'!$A$1:$N$28</definedName>
    <definedName name="_xlnm.Print_Area" localSheetId="4">'HCMQAP144_pos4ap2'!$A$1:$N$28</definedName>
    <definedName name="_xlnm.Print_Area" localSheetId="5">'HCMQAP144_pos5ap2'!$A$1:$N$28</definedName>
    <definedName name="_xlnm.Print_Area" localSheetId="6">'Lmag_hcmqap'!$A$1:$G$54</definedName>
    <definedName name="_xlnm.Print_Area" localSheetId="0">'Sommaire'!$A$1:$N$16</definedName>
  </definedNames>
  <calcPr fullCalcOnLoad="1"/>
</workbook>
</file>

<file path=xl/sharedStrings.xml><?xml version="1.0" encoding="utf-8"?>
<sst xmlns="http://schemas.openxmlformats.org/spreadsheetml/2006/main" count="505" uniqueCount="190">
  <si>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</si>
  <si>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</si>
  <si>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</si>
  <si>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</si>
  <si>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</si>
  <si>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</si>
  <si>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</si>
  <si>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</si>
  <si>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</si>
  <si>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</si>
  <si>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</si>
  <si>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</si>
  <si>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</si>
  <si>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</si>
  <si>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</si>
  <si>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hcmqap144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</si>
  <si>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</si>
  <si>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</si>
  <si>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</si>
  <si>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</si>
  <si>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</si>
  <si>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</si>
  <si>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</si>
  <si>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</si>
  <si>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</si>
  <si>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</si>
  <si>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</si>
  <si>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</si>
  <si>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taupe_quadrupole#12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</si>
  <si>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</si>
  <si>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</si>
  <si>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</si>
  <si>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</si>
  <si>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</si>
  <si>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</si>
  <si>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</si>
  <si>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</si>
  <si>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</si>
  <si>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</si>
  <si>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</si>
  <si>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</si>
  <si>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</si>
  <si>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</si>
  <si>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</si>
  <si>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</si>
  <si>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</si>
  <si>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</si>
  <si>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</si>
  <si>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</si>
  <si>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</si>
  <si>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t>Sens du courant</t>
  </si>
  <si>
    <t>+I / -I</t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</si>
  <si>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</si>
  <si>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</si>
  <si>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</si>
  <si>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</si>
  <si>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</si>
  <si>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</si>
  <si>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</si>
  <si>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-2.249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</si>
  <si>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</si>
  <si>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</si>
  <si>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</si>
  <si>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</si>
  <si>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</si>
  <si>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</si>
  <si>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</si>
  <si>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</si>
  <si>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t>HCMQAP144_pos1ap2</t>
  </si>
  <si>
    <t>±12.5</t>
  </si>
  <si>
    <t>THCMQAP144_pos1ap2.xls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</si>
  <si>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-3.754 mT)</t>
    </r>
  </si>
  <si>
    <t>HCMQAP144_pos2ap2</t>
  </si>
  <si>
    <t>THCMQAP144_pos2ap2.xls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</si>
  <si>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-3.752 mT)</t>
    </r>
  </si>
  <si>
    <t>HCMQAP144_pos3ap2</t>
  </si>
  <si>
    <t>THCMQAP144_pos3ap2.xls</t>
  </si>
  <si>
    <t>HCMQAP144_pos4ap2</t>
  </si>
  <si>
    <t>THCMQAP144_pos4ap2.xls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</si>
  <si>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-2.088 mT)</t>
    </r>
  </si>
  <si>
    <t>HCMQAP144_pos5ap2</t>
  </si>
  <si>
    <t>THCMQAP144_pos5ap2.xls</t>
  </si>
  <si>
    <t>Sommaire : Valeurs intégrales calculées avec les fichiers: HCMQAP144_pos1ap2+HCMQAP144_pos2ap2+HCMQAP144_pos3ap2+HCMQAP144_pos4ap2+HCMQAP144_pos5ap2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</si>
  <si>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</si>
  <si>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</si>
  <si>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</si>
  <si>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</si>
  <si>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</si>
  <si>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</si>
  <si>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</si>
  <si>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</si>
  <si>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</si>
  <si>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</si>
  <si>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</si>
  <si>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</si>
  <si>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</si>
  <si>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</si>
  <si>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</si>
  <si>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</si>
  <si>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</si>
  <si>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</si>
  <si>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</si>
  <si>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</si>
  <si>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</si>
  <si>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</si>
  <si>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</si>
  <si>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</si>
  <si>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</si>
  <si>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</si>
  <si>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</si>
  <si>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</si>
  <si>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</si>
  <si>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</si>
  <si>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</si>
  <si>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</si>
  <si>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</si>
  <si>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</si>
  <si>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</si>
  <si>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</si>
  <si>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</si>
  <si>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</si>
  <si>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</si>
  <si>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</si>
  <si>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</si>
  <si>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</si>
  <si>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</si>
  <si>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=-3.753</t>
    </r>
  </si>
  <si>
    <t>Gradient (T/m)</t>
  </si>
  <si>
    <t xml:space="preserve"> Mon 08/12/2003       07:54:51</t>
  </si>
  <si>
    <t>LISSNER</t>
  </si>
  <si>
    <t>HCMQAP144</t>
  </si>
  <si>
    <t>Aperture2</t>
  </si>
  <si>
    <t>Position</t>
  </si>
  <si>
    <t>Integrales</t>
  </si>
  <si>
    <t>Cn (T)</t>
  </si>
  <si>
    <t>Angle (Horiz,Cn)</t>
  </si>
  <si>
    <t>b1</t>
  </si>
  <si>
    <t>b2</t>
  </si>
  <si>
    <t>b10!</t>
  </si>
  <si>
    <t>a1</t>
  </si>
  <si>
    <t>a2</t>
  </si>
  <si>
    <t>a4*</t>
  </si>
  <si>
    <t>a6!</t>
  </si>
  <si>
    <t>Temp taupe (deg)</t>
  </si>
  <si>
    <t>Niv init (mrad)</t>
  </si>
  <si>
    <t>Dx moy (mm)</t>
  </si>
  <si>
    <t>Dy moy (mm)</t>
  </si>
  <si>
    <t>C2 centre (T)</t>
  </si>
  <si>
    <t>Long. Mag. (m)</t>
  </si>
  <si>
    <t>* = Integral error  ! = Central error           Conclusion : CONTACT CEA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</si>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</sst>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4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.5"/>
      <name val="Arial"/>
      <family val="0"/>
    </font>
    <font>
      <sz val="11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5" fillId="0" borderId="13" xfId="0" applyNumberFormat="1" applyFont="1" applyFill="1" applyBorder="1" applyAlignment="1">
      <alignment horizontal="left"/>
    </xf>
    <xf numFmtId="173" fontId="5" fillId="0" borderId="13" xfId="0" applyNumberFormat="1" applyFont="1" applyFill="1" applyBorder="1" applyAlignment="1">
      <alignment horizontal="center"/>
    </xf>
    <xf numFmtId="173" fontId="5" fillId="0" borderId="14" xfId="0" applyNumberFormat="1" applyFont="1" applyFill="1" applyBorder="1" applyAlignment="1">
      <alignment horizontal="center"/>
    </xf>
    <xf numFmtId="173" fontId="5" fillId="0" borderId="19" xfId="0" applyNumberFormat="1" applyFont="1" applyFill="1" applyBorder="1" applyAlignment="1">
      <alignment horizontal="center"/>
    </xf>
    <xf numFmtId="173" fontId="5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>
      <alignment horizontal="center"/>
    </xf>
    <xf numFmtId="173" fontId="5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0" borderId="10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5" fillId="0" borderId="11" xfId="0" applyNumberFormat="1" applyFont="1" applyFill="1" applyBorder="1" applyAlignment="1">
      <alignment horizontal="left"/>
    </xf>
    <xf numFmtId="173" fontId="3" fillId="3" borderId="10" xfId="0" applyNumberFormat="1" applyFont="1" applyFill="1" applyBorder="1" applyAlignment="1">
      <alignment horizontal="center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7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173" fontId="3" fillId="3" borderId="15" xfId="0" applyNumberFormat="1" applyFont="1" applyFill="1" applyBorder="1" applyAlignment="1">
      <alignment horizontal="center"/>
    </xf>
    <xf numFmtId="173" fontId="5" fillId="3" borderId="15" xfId="0" applyNumberFormat="1" applyFont="1" applyFill="1" applyBorder="1" applyAlignment="1">
      <alignment horizontal="center"/>
    </xf>
    <xf numFmtId="173" fontId="5" fillId="3" borderId="10" xfId="0" applyNumberFormat="1" applyFont="1" applyFill="1" applyBorder="1" applyAlignment="1">
      <alignment horizontal="center"/>
    </xf>
    <xf numFmtId="179" fontId="5" fillId="0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5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5" fillId="0" borderId="55" xfId="0" applyNumberFormat="1" applyFont="1" applyFill="1" applyBorder="1" applyAlignment="1">
      <alignment horizontal="center"/>
    </xf>
    <xf numFmtId="179" fontId="5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5" fillId="0" borderId="6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5" fillId="3" borderId="20" xfId="0" applyNumberFormat="1" applyFont="1" applyFill="1" applyBorder="1" applyAlignment="1">
      <alignment horizontal="center"/>
    </xf>
    <xf numFmtId="179" fontId="5" fillId="0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10" fillId="0" borderId="64" xfId="0" applyNumberFormat="1" applyFon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1" fillId="0" borderId="66" xfId="0" applyNumberFormat="1" applyFont="1" applyBorder="1" applyAlignment="1">
      <alignment horizontal="center"/>
    </xf>
    <xf numFmtId="179" fontId="11" fillId="0" borderId="67" xfId="0" applyNumberFormat="1" applyFont="1" applyBorder="1" applyAlignment="1">
      <alignment horizontal="center"/>
    </xf>
    <xf numFmtId="2" fontId="11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144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Lmag_hcmqap!$B$17:$F$17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Lmag_hcmqap!$B$7:$F$7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Lmag_hcmqap!$B$20:$F$20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Lmag_hcmqap!$A$6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Lmag_hcmqap!$B$6:$F$6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Lmag_hcmqap!$A$19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Lmag_hcmqap!$B$19:$F$19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5395118"/>
        <c:axId val="5902879"/>
      </c:lineChart>
      <c:catAx>
        <c:axId val="453951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902879"/>
        <c:crosses val="autoZero"/>
        <c:auto val="1"/>
        <c:lblOffset val="100"/>
        <c:noMultiLvlLbl val="0"/>
      </c:catAx>
      <c:valAx>
        <c:axId val="59028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4539511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36</xdr:row>
      <xdr:rowOff>28575</xdr:rowOff>
    </xdr:from>
    <xdr:to>
      <xdr:col>7</xdr:col>
      <xdr:colOff>19050</xdr:colOff>
      <xdr:row>56</xdr:row>
      <xdr:rowOff>47625</xdr:rowOff>
    </xdr:to>
    <xdr:graphicFrame>
      <xdr:nvGraphicFramePr>
        <xdr:cNvPr id="1" name="Chart 1"/>
        <xdr:cNvGraphicFramePr/>
      </xdr:nvGraphicFramePr>
      <xdr:xfrm>
        <a:off x="171450" y="6010275"/>
        <a:ext cx="53816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7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>
        <v>37845</v>
      </c>
      <c r="B2" s="24">
        <v>80</v>
      </c>
      <c r="C2" s="24" t="s">
        <v>69</v>
      </c>
      <c r="D2" s="25">
        <v>5</v>
      </c>
      <c r="E2" s="25">
        <v>1</v>
      </c>
      <c r="F2" s="26"/>
      <c r="G2" s="26" t="s">
        <v>68</v>
      </c>
      <c r="H2" s="25">
        <v>2780</v>
      </c>
      <c r="I2" s="27" t="s">
        <v>70</v>
      </c>
      <c r="J2" s="30"/>
      <c r="K2" s="28"/>
      <c r="L2" s="28"/>
      <c r="M2" s="28"/>
      <c r="N2" s="28"/>
    </row>
    <row r="3" spans="1:14" s="29" customFormat="1" ht="15" customHeight="1">
      <c r="A3" s="40">
        <v>37845</v>
      </c>
      <c r="B3" s="24">
        <v>80</v>
      </c>
      <c r="C3" s="24" t="s">
        <v>69</v>
      </c>
      <c r="D3" s="25">
        <v>5</v>
      </c>
      <c r="E3" s="25">
        <v>2</v>
      </c>
      <c r="F3" s="26"/>
      <c r="G3" s="26" t="s">
        <v>72</v>
      </c>
      <c r="H3" s="25">
        <v>2780</v>
      </c>
      <c r="I3" s="27" t="s">
        <v>73</v>
      </c>
      <c r="J3" s="30"/>
      <c r="K3" s="28"/>
      <c r="L3" s="28"/>
      <c r="M3" s="28"/>
      <c r="N3" s="28"/>
    </row>
    <row r="4" spans="1:14" s="29" customFormat="1" ht="15" customHeight="1">
      <c r="A4" s="40">
        <v>37845</v>
      </c>
      <c r="B4" s="24">
        <v>80</v>
      </c>
      <c r="C4" s="24" t="s">
        <v>69</v>
      </c>
      <c r="D4" s="25">
        <v>5</v>
      </c>
      <c r="E4" s="25">
        <v>3</v>
      </c>
      <c r="F4" s="26"/>
      <c r="G4" s="26" t="s">
        <v>75</v>
      </c>
      <c r="H4" s="25">
        <v>2780</v>
      </c>
      <c r="I4" s="27" t="s">
        <v>76</v>
      </c>
      <c r="J4" s="30"/>
      <c r="K4" s="31"/>
      <c r="L4" s="31"/>
      <c r="M4" s="31"/>
      <c r="N4" s="28"/>
    </row>
    <row r="5" spans="1:14" s="29" customFormat="1" ht="15" customHeight="1">
      <c r="A5" s="40">
        <v>37845</v>
      </c>
      <c r="B5" s="24">
        <v>80</v>
      </c>
      <c r="C5" s="24" t="s">
        <v>69</v>
      </c>
      <c r="D5" s="25">
        <v>5</v>
      </c>
      <c r="E5" s="25">
        <v>4</v>
      </c>
      <c r="F5" s="26"/>
      <c r="G5" s="26" t="s">
        <v>77</v>
      </c>
      <c r="H5" s="25">
        <v>2780</v>
      </c>
      <c r="I5" s="27" t="s">
        <v>78</v>
      </c>
      <c r="J5" s="30"/>
      <c r="K5" s="28"/>
      <c r="L5" s="28"/>
      <c r="M5" s="28"/>
      <c r="N5" s="28"/>
    </row>
    <row r="6" spans="1:14" s="29" customFormat="1" ht="15" customHeight="1">
      <c r="A6" s="40">
        <v>37845</v>
      </c>
      <c r="B6" s="24">
        <v>80</v>
      </c>
      <c r="C6" s="24" t="s">
        <v>69</v>
      </c>
      <c r="D6" s="25">
        <v>5</v>
      </c>
      <c r="E6" s="25">
        <v>5</v>
      </c>
      <c r="F6" s="26"/>
      <c r="G6" s="26" t="s">
        <v>80</v>
      </c>
      <c r="H6" s="25">
        <v>2780</v>
      </c>
      <c r="I6" s="27" t="s">
        <v>81</v>
      </c>
      <c r="J6" s="30"/>
      <c r="K6" s="28"/>
      <c r="L6" s="28"/>
      <c r="M6" s="28"/>
      <c r="N6" s="28"/>
    </row>
    <row r="7" spans="1:14" s="29" customFormat="1" ht="15" customHeight="1">
      <c r="A7" s="40" t="s">
        <v>82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5" customHeight="1">
      <c r="A10" s="40"/>
      <c r="B10" s="24"/>
      <c r="C10" s="24"/>
      <c r="D10" s="25"/>
      <c r="E10" s="25"/>
      <c r="F10" s="26"/>
      <c r="G10" s="26"/>
      <c r="H10" s="25"/>
      <c r="I10" s="27"/>
      <c r="J10" s="30"/>
      <c r="K10" s="28"/>
      <c r="L10" s="28"/>
      <c r="M10" s="28"/>
      <c r="N10" s="28"/>
    </row>
    <row r="11" spans="1:14" s="29" customFormat="1" ht="18" customHeight="1">
      <c r="A11" s="41"/>
      <c r="B11" s="24"/>
      <c r="C11" s="24"/>
      <c r="D11" s="25"/>
      <c r="E11" s="33"/>
      <c r="F11" s="34"/>
      <c r="G11" s="4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38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8" customHeight="1">
      <c r="A13" s="40"/>
      <c r="B13" s="24"/>
      <c r="C13" s="24"/>
      <c r="D13" s="25"/>
      <c r="E13" s="33"/>
      <c r="F13" s="34"/>
      <c r="G13" s="34"/>
      <c r="H13" s="33"/>
      <c r="I13" s="35"/>
      <c r="J13" s="36"/>
      <c r="K13" s="37"/>
      <c r="L13" s="37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7"/>
      <c r="J14" s="30"/>
      <c r="K14" s="31"/>
      <c r="L14" s="28"/>
      <c r="M14" s="28"/>
      <c r="N14" s="28"/>
    </row>
    <row r="15" spans="1:14" s="29" customFormat="1" ht="15" customHeight="1">
      <c r="A15" s="40"/>
      <c r="B15" s="24"/>
      <c r="C15" s="24"/>
      <c r="D15" s="25"/>
      <c r="E15" s="25"/>
      <c r="F15" s="26"/>
      <c r="G15" s="26"/>
      <c r="H15" s="25"/>
      <c r="I15" s="28"/>
      <c r="J15" s="30"/>
      <c r="K15" s="31"/>
      <c r="L15" s="28"/>
      <c r="M15" s="28"/>
      <c r="N15" s="28"/>
    </row>
    <row r="16" spans="1:14" s="2" customFormat="1" ht="18" customHeight="1">
      <c r="A16" s="42"/>
      <c r="B16" s="20"/>
      <c r="C16" s="20"/>
      <c r="D16" s="15"/>
      <c r="E16" s="15"/>
      <c r="F16" s="22"/>
      <c r="G16" s="22"/>
      <c r="H16" s="15"/>
      <c r="I16" s="23"/>
      <c r="J16" s="17"/>
      <c r="K16"/>
      <c r="L16" s="4"/>
      <c r="M16" s="4"/>
      <c r="N16" s="4"/>
    </row>
    <row r="17" spans="10:14" ht="15" customHeight="1">
      <c r="J17" s="32"/>
      <c r="M17"/>
      <c r="N17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3.0410878E-05</v>
      </c>
      <c r="L2" s="55">
        <v>2.4331920758787434E-07</v>
      </c>
      <c r="M2" s="55">
        <v>8.083495500000001E-05</v>
      </c>
      <c r="N2" s="56">
        <v>1.4209734511974183E-07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-3.2279382E-05</v>
      </c>
      <c r="L3" s="55">
        <v>3.25915339824737E-07</v>
      </c>
      <c r="M3" s="55">
        <v>1.5295611E-05</v>
      </c>
      <c r="N3" s="56">
        <v>1.703170756968719E-07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-0.002248569747125493</v>
      </c>
      <c r="L4" s="55">
        <v>-3.1830010986639275E-06</v>
      </c>
      <c r="M4" s="55">
        <v>7.744029811263307E-08</v>
      </c>
      <c r="N4" s="56">
        <v>0.7077830199999999</v>
      </c>
    </row>
    <row r="5" spans="1:14" ht="15" customHeight="1" thickBot="1">
      <c r="A5" t="s">
        <v>18</v>
      </c>
      <c r="B5" s="59">
        <v>37963.2815162037</v>
      </c>
      <c r="D5" s="60"/>
      <c r="E5" s="61" t="s">
        <v>59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2780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7" t="s">
        <v>27</v>
      </c>
      <c r="B8" s="72" t="s">
        <v>28</v>
      </c>
      <c r="D8" s="77">
        <v>1.7150408000000001</v>
      </c>
      <c r="E8" s="78">
        <v>0.027890949454240945</v>
      </c>
      <c r="F8" s="78">
        <v>0.13685739619999998</v>
      </c>
      <c r="G8" s="78">
        <v>0.03663173892473511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1.1550608699999998</v>
      </c>
      <c r="E9" s="80">
        <v>0.009210965366073909</v>
      </c>
      <c r="F9" s="80">
        <v>0.62836504</v>
      </c>
      <c r="G9" s="80">
        <v>0.029670625702660162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0.18672841</v>
      </c>
      <c r="E10" s="80">
        <v>0.01558856765236615</v>
      </c>
      <c r="F10" s="80">
        <v>0.15685659</v>
      </c>
      <c r="G10" s="80">
        <v>0.013201928656995767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1</v>
      </c>
      <c r="D11" s="77">
        <v>4.6107380000000004</v>
      </c>
      <c r="E11" s="78">
        <v>0.012409831715160994</v>
      </c>
      <c r="F11" s="78">
        <v>0.5791273799999999</v>
      </c>
      <c r="G11" s="78">
        <v>0.013993345229741319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-0.22502572999999998</v>
      </c>
      <c r="E12" s="80">
        <v>0.006751674822560752</v>
      </c>
      <c r="F12" s="80">
        <v>-0.028407073999999997</v>
      </c>
      <c r="G12" s="80">
        <v>0.011412344449611315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14.184571</v>
      </c>
      <c r="D13" s="83">
        <v>0.139163797</v>
      </c>
      <c r="E13" s="80">
        <v>0.008546980864318916</v>
      </c>
      <c r="F13" s="80">
        <v>0.058305622999999994</v>
      </c>
      <c r="G13" s="80">
        <v>0.004670194344603506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-0.004115823000000001</v>
      </c>
      <c r="E14" s="80">
        <v>0.0026692553195125424</v>
      </c>
      <c r="F14" s="80">
        <v>0.043818567</v>
      </c>
      <c r="G14" s="80">
        <v>0.0009398536288889114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-0.30037453999999997</v>
      </c>
      <c r="E15" s="78">
        <v>0.003712309428295965</v>
      </c>
      <c r="F15" s="78">
        <v>0.13927729</v>
      </c>
      <c r="G15" s="78">
        <v>0.0033681028489936974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12.513</v>
      </c>
      <c r="D16" s="83">
        <v>-0.028908361700000003</v>
      </c>
      <c r="E16" s="80">
        <v>0.004204862728748902</v>
      </c>
      <c r="F16" s="80">
        <v>0.0118535767</v>
      </c>
      <c r="G16" s="80">
        <v>0.0031256018630354816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0.4399999976158142</v>
      </c>
      <c r="D17" s="83">
        <v>-0.008527422000000002</v>
      </c>
      <c r="E17" s="80">
        <v>0.0021654064819626815</v>
      </c>
      <c r="F17" s="80">
        <v>0.012050083</v>
      </c>
      <c r="G17" s="80">
        <v>0.004022720402830155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11.1899995803833</v>
      </c>
      <c r="D18" s="83">
        <v>0.036597081999999996</v>
      </c>
      <c r="E18" s="80">
        <v>0.0015952584208635896</v>
      </c>
      <c r="F18" s="80">
        <v>0.059723979999999996</v>
      </c>
      <c r="G18" s="80">
        <v>0.0019558273416331994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0.4259999990463257</v>
      </c>
      <c r="D19" s="86">
        <v>-0.19661926999999998</v>
      </c>
      <c r="E19" s="80">
        <v>0.001802134267361957</v>
      </c>
      <c r="F19" s="80">
        <v>0.020926115</v>
      </c>
      <c r="G19" s="80">
        <v>0.0021462536447377383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0.2290436</v>
      </c>
      <c r="D20" s="88">
        <v>-0.0001528939000000001</v>
      </c>
      <c r="E20" s="89">
        <v>0.0018274785955453047</v>
      </c>
      <c r="F20" s="89">
        <v>-0.0004505195</v>
      </c>
      <c r="G20" s="89">
        <v>0.0016867682487210268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0.6114554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0.04055301411068917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-2.248572</v>
      </c>
      <c r="I25" s="101" t="s">
        <v>49</v>
      </c>
      <c r="J25" s="102"/>
      <c r="K25" s="101"/>
      <c r="L25" s="104">
        <v>4.6469660453794654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1.720492630777384</v>
      </c>
      <c r="I26" s="106" t="s">
        <v>53</v>
      </c>
      <c r="J26" s="107"/>
      <c r="K26" s="106"/>
      <c r="L26" s="109">
        <v>0.3310936843099785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HCMQAP144_pos1ap2res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3.17808155E-05</v>
      </c>
      <c r="L2" s="55">
        <v>2.2265686064995223E-07</v>
      </c>
      <c r="M2" s="55">
        <v>6.9819217E-05</v>
      </c>
      <c r="N2" s="56">
        <v>1.837800396305651E-07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-2.93049265E-05</v>
      </c>
      <c r="L3" s="55">
        <v>7.265975217038337E-07</v>
      </c>
      <c r="M3" s="55">
        <v>1.2325943000000004E-05</v>
      </c>
      <c r="N3" s="56">
        <v>6.263289411690427E-07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-0.003754392389281617</v>
      </c>
      <c r="L4" s="55">
        <v>-2.1906526743525256E-05</v>
      </c>
      <c r="M4" s="55">
        <v>6.544812655407603E-08</v>
      </c>
      <c r="N4" s="56">
        <v>2.9174199</v>
      </c>
    </row>
    <row r="5" spans="1:14" ht="15" customHeight="1" thickBot="1">
      <c r="A5" t="s">
        <v>18</v>
      </c>
      <c r="B5" s="59">
        <v>37963.29275462963</v>
      </c>
      <c r="D5" s="60"/>
      <c r="E5" s="61" t="s">
        <v>71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2780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7" t="s">
        <v>27</v>
      </c>
      <c r="B8" s="72" t="s">
        <v>28</v>
      </c>
      <c r="D8" s="77">
        <v>0.35074848000000003</v>
      </c>
      <c r="E8" s="78">
        <v>0.010599758603033591</v>
      </c>
      <c r="F8" s="78">
        <v>-1.3452199999999999</v>
      </c>
      <c r="G8" s="78">
        <v>0.008166544648778988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0.9551423399999999</v>
      </c>
      <c r="E9" s="80">
        <v>0.007379999520903583</v>
      </c>
      <c r="F9" s="80">
        <v>2.2982384</v>
      </c>
      <c r="G9" s="80">
        <v>0.008444786003186567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-0.115487227</v>
      </c>
      <c r="E10" s="80">
        <v>0.005394933136780878</v>
      </c>
      <c r="F10" s="80">
        <v>-0.20744411999999998</v>
      </c>
      <c r="G10" s="80">
        <v>0.007560864655090891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2</v>
      </c>
      <c r="D11" s="77">
        <v>4.2785942</v>
      </c>
      <c r="E11" s="78">
        <v>0.006400743180380595</v>
      </c>
      <c r="F11" s="78">
        <v>0.7698471999999998</v>
      </c>
      <c r="G11" s="78">
        <v>0.007627934366080951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0.0206787622</v>
      </c>
      <c r="E12" s="80">
        <v>0.003551781536415521</v>
      </c>
      <c r="F12" s="80">
        <v>-0.140676065</v>
      </c>
      <c r="G12" s="80">
        <v>0.004711557745553096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14.007569</v>
      </c>
      <c r="D13" s="83">
        <v>-0.037106444</v>
      </c>
      <c r="E13" s="80">
        <v>0.0035523137239486633</v>
      </c>
      <c r="F13" s="80">
        <v>0.18559164999999997</v>
      </c>
      <c r="G13" s="80">
        <v>0.0014380433025516955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0.0035463863000000004</v>
      </c>
      <c r="E14" s="80">
        <v>0.0009037047010929833</v>
      </c>
      <c r="F14" s="80">
        <v>0.060813693999999995</v>
      </c>
      <c r="G14" s="80">
        <v>0.0005414088433749107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-0.013576006999999998</v>
      </c>
      <c r="E15" s="78">
        <v>0.001406768341659716</v>
      </c>
      <c r="F15" s="78">
        <v>0.11590509199999999</v>
      </c>
      <c r="G15" s="78">
        <v>0.0027112805323030887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12.513</v>
      </c>
      <c r="D16" s="83">
        <v>-0.017555853161</v>
      </c>
      <c r="E16" s="80">
        <v>0.0015760458232229164</v>
      </c>
      <c r="F16" s="80">
        <v>0.0193621683</v>
      </c>
      <c r="G16" s="80">
        <v>0.001536513377767122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-0.13899999856948853</v>
      </c>
      <c r="D17" s="83">
        <v>0.0028158390000000005</v>
      </c>
      <c r="E17" s="80">
        <v>0.0014283029017067765</v>
      </c>
      <c r="F17" s="80">
        <v>0.0080652053</v>
      </c>
      <c r="G17" s="80">
        <v>0.0016657939118036673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5.59499979019165</v>
      </c>
      <c r="D18" s="83">
        <v>0.015382635</v>
      </c>
      <c r="E18" s="80">
        <v>0.000953557187110435</v>
      </c>
      <c r="F18" s="80">
        <v>0.031098941</v>
      </c>
      <c r="G18" s="80">
        <v>0.0015025703293669015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-0.15000000596046448</v>
      </c>
      <c r="D19" s="86">
        <v>-0.17519129</v>
      </c>
      <c r="E19" s="80">
        <v>0.0006001513387450186</v>
      </c>
      <c r="F19" s="80">
        <v>0.021865046</v>
      </c>
      <c r="G19" s="80">
        <v>0.0009186498565906011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0.14205490000000004</v>
      </c>
      <c r="D20" s="88">
        <v>-0.0018737874079999997</v>
      </c>
      <c r="E20" s="89">
        <v>0.0008080808849015002</v>
      </c>
      <c r="F20" s="89">
        <v>0.0009569826000000002</v>
      </c>
      <c r="G20" s="89">
        <v>0.0007098689112759761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0.3169708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0.167155988528102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-3.7544563</v>
      </c>
      <c r="I25" s="101" t="s">
        <v>49</v>
      </c>
      <c r="J25" s="102"/>
      <c r="K25" s="101"/>
      <c r="L25" s="104">
        <v>4.347301811425275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1.3901947146433518</v>
      </c>
      <c r="I26" s="106" t="s">
        <v>53</v>
      </c>
      <c r="J26" s="107"/>
      <c r="K26" s="106"/>
      <c r="L26" s="109">
        <v>0.1166974649150208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HCMQAP144_pos2ap2res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5.087085E-06</v>
      </c>
      <c r="L2" s="55">
        <v>1.0803400557232267E-07</v>
      </c>
      <c r="M2" s="55">
        <v>6.1515019E-05</v>
      </c>
      <c r="N2" s="56">
        <v>2.1600424033753093E-07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-2.7619505E-05</v>
      </c>
      <c r="L3" s="55">
        <v>1.8421001742552727E-07</v>
      </c>
      <c r="M3" s="55">
        <v>1.1221739E-05</v>
      </c>
      <c r="N3" s="56">
        <v>9.385405779183586E-08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-0.0037522267346525124</v>
      </c>
      <c r="L4" s="55">
        <v>-3.61011589717983E-05</v>
      </c>
      <c r="M4" s="55">
        <v>4.8691295298120916E-08</v>
      </c>
      <c r="N4" s="56">
        <v>4.8104829</v>
      </c>
    </row>
    <row r="5" spans="1:14" ht="15" customHeight="1" thickBot="1">
      <c r="A5" t="s">
        <v>18</v>
      </c>
      <c r="B5" s="59">
        <v>37963.3172337963</v>
      </c>
      <c r="D5" s="60"/>
      <c r="E5" s="61" t="s">
        <v>74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2780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7" t="s">
        <v>27</v>
      </c>
      <c r="B8" s="72" t="s">
        <v>28</v>
      </c>
      <c r="D8" s="77">
        <v>1.326584</v>
      </c>
      <c r="E8" s="78">
        <v>0.013769115378271139</v>
      </c>
      <c r="F8" s="78">
        <v>-2.9961577999999998</v>
      </c>
      <c r="G8" s="78">
        <v>0.013866779235335388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0.60267943</v>
      </c>
      <c r="E9" s="80">
        <v>0.009190887695893097</v>
      </c>
      <c r="F9" s="80">
        <v>2.5773882</v>
      </c>
      <c r="G9" s="80">
        <v>0.008988035684204698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-0.34606221000000004</v>
      </c>
      <c r="E10" s="80">
        <v>0.0048502328676449675</v>
      </c>
      <c r="F10" s="80">
        <v>-0.77680321</v>
      </c>
      <c r="G10" s="80">
        <v>0.006193604362437602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3</v>
      </c>
      <c r="D11" s="77">
        <v>4.4407409</v>
      </c>
      <c r="E11" s="78">
        <v>0.004668746292013063</v>
      </c>
      <c r="F11" s="78">
        <v>0.9619445299999999</v>
      </c>
      <c r="G11" s="78">
        <v>0.003950598799666854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0.04188237200000001</v>
      </c>
      <c r="E12" s="80">
        <v>0.00280379536061309</v>
      </c>
      <c r="F12" s="80">
        <v>-0.21146724</v>
      </c>
      <c r="G12" s="80">
        <v>0.004345036779177828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13.83667</v>
      </c>
      <c r="D13" s="83">
        <v>0.004189361</v>
      </c>
      <c r="E13" s="80">
        <v>0.003821710155871845</v>
      </c>
      <c r="F13" s="80">
        <v>0.20198767</v>
      </c>
      <c r="G13" s="80">
        <v>0.002941469302508269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0.066688936</v>
      </c>
      <c r="E14" s="80">
        <v>0.002990575159433887</v>
      </c>
      <c r="F14" s="80">
        <v>0.032376756699999995</v>
      </c>
      <c r="G14" s="80">
        <v>0.0024597994501187885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0.009161002</v>
      </c>
      <c r="E15" s="78">
        <v>0.0016917430471753085</v>
      </c>
      <c r="F15" s="78">
        <v>0.08404902100000002</v>
      </c>
      <c r="G15" s="78">
        <v>0.001483386373791762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12.513</v>
      </c>
      <c r="D16" s="83">
        <v>-0.04140038</v>
      </c>
      <c r="E16" s="80">
        <v>0.0025318166367117047</v>
      </c>
      <c r="F16" s="80">
        <v>0.0200388038</v>
      </c>
      <c r="G16" s="80">
        <v>0.0008854804036192472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0.4580000042915344</v>
      </c>
      <c r="D17" s="83">
        <v>-0.003152395</v>
      </c>
      <c r="E17" s="80">
        <v>0.0019730658564959262</v>
      </c>
      <c r="F17" s="80">
        <v>0.010206510000000002</v>
      </c>
      <c r="G17" s="80">
        <v>0.0016084610664638319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2.5429999828338623</v>
      </c>
      <c r="D18" s="83">
        <v>0.0112098702</v>
      </c>
      <c r="E18" s="80">
        <v>0.0010611959172157441</v>
      </c>
      <c r="F18" s="80">
        <v>0.025955636999999997</v>
      </c>
      <c r="G18" s="80">
        <v>0.0015960824913850843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0.37700000405311584</v>
      </c>
      <c r="D19" s="86">
        <v>-0.17710037</v>
      </c>
      <c r="E19" s="80">
        <v>0.0005126037656858608</v>
      </c>
      <c r="F19" s="80">
        <v>0.020138457999999998</v>
      </c>
      <c r="G19" s="80">
        <v>0.0014139473626893046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0.020361799999999996</v>
      </c>
      <c r="D20" s="88">
        <v>-0.002269442453</v>
      </c>
      <c r="E20" s="89">
        <v>0.0015351401446120892</v>
      </c>
      <c r="F20" s="89">
        <v>-0.0011517293</v>
      </c>
      <c r="G20" s="89">
        <v>0.0010652678356206295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0.2788949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0.27562060039661446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-3.7524004</v>
      </c>
      <c r="I25" s="101" t="s">
        <v>49</v>
      </c>
      <c r="J25" s="102"/>
      <c r="K25" s="101"/>
      <c r="L25" s="104">
        <v>4.543733819198669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3.276703628886329</v>
      </c>
      <c r="I26" s="106" t="s">
        <v>53</v>
      </c>
      <c r="J26" s="107"/>
      <c r="K26" s="106"/>
      <c r="L26" s="109">
        <v>0.08454680294784923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HCMQAP144_pos3ap2res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2.65965204E-05</v>
      </c>
      <c r="L2" s="55">
        <v>1.4312011077707904E-07</v>
      </c>
      <c r="M2" s="55">
        <v>0.00011606874</v>
      </c>
      <c r="N2" s="56">
        <v>2.792990375919285E-07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-2.82878996E-05</v>
      </c>
      <c r="L3" s="55">
        <v>9.321017326853158E-08</v>
      </c>
      <c r="M3" s="55">
        <v>9.630600000000004E-06</v>
      </c>
      <c r="N3" s="56">
        <v>1.0459154841570743E-07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-0.003752029904370944</v>
      </c>
      <c r="L4" s="55">
        <v>-4.644046280407354E-05</v>
      </c>
      <c r="M4" s="55">
        <v>1.0649394688249257E-07</v>
      </c>
      <c r="N4" s="56">
        <v>6.188395699999999</v>
      </c>
    </row>
    <row r="5" spans="1:14" ht="15" customHeight="1" thickBot="1">
      <c r="A5" t="s">
        <v>18</v>
      </c>
      <c r="B5" s="59">
        <v>37963.32173611111</v>
      </c>
      <c r="D5" s="60"/>
      <c r="E5" s="61" t="s">
        <v>74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2780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7" t="s">
        <v>27</v>
      </c>
      <c r="B8" s="72" t="s">
        <v>28</v>
      </c>
      <c r="D8" s="77">
        <v>0.4991807399999999</v>
      </c>
      <c r="E8" s="78">
        <v>0.016194742201327883</v>
      </c>
      <c r="F8" s="78">
        <v>-2.9187692</v>
      </c>
      <c r="G8" s="78">
        <v>0.0030857452843082557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0.5967504</v>
      </c>
      <c r="E9" s="80">
        <v>0.013149340516621129</v>
      </c>
      <c r="F9" s="114">
        <v>2.659435</v>
      </c>
      <c r="G9" s="80">
        <v>0.0021322070015943823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0.243849335</v>
      </c>
      <c r="E10" s="80">
        <v>0.0075319359587962985</v>
      </c>
      <c r="F10" s="80">
        <v>-0.8278613</v>
      </c>
      <c r="G10" s="80">
        <v>0.008572712883729443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4</v>
      </c>
      <c r="D11" s="77">
        <v>3.7590353</v>
      </c>
      <c r="E11" s="78">
        <v>0.004222256110322811</v>
      </c>
      <c r="F11" s="78">
        <v>0.43775431000000004</v>
      </c>
      <c r="G11" s="78">
        <v>0.0037428872309167647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0.27353234000000004</v>
      </c>
      <c r="E12" s="80">
        <v>0.0054405086575046195</v>
      </c>
      <c r="F12" s="80">
        <v>-0.22953782</v>
      </c>
      <c r="G12" s="80">
        <v>0.004813883282609179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13.830567</v>
      </c>
      <c r="D13" s="83">
        <v>0.07403201129</v>
      </c>
      <c r="E13" s="80">
        <v>0.004708898316046627</v>
      </c>
      <c r="F13" s="80">
        <v>0.22324289</v>
      </c>
      <c r="G13" s="80">
        <v>0.0022554343001728885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0.050438625</v>
      </c>
      <c r="E14" s="80">
        <v>0.002984023208559188</v>
      </c>
      <c r="F14" s="80">
        <v>0.06490464700000001</v>
      </c>
      <c r="G14" s="80">
        <v>0.0024289315142477824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-0.06284935500000001</v>
      </c>
      <c r="E15" s="78">
        <v>0.0022218733292402983</v>
      </c>
      <c r="F15" s="78">
        <v>0.050845154999999996</v>
      </c>
      <c r="G15" s="78">
        <v>0.001112652844947539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12.513</v>
      </c>
      <c r="D16" s="83">
        <v>0.0050134305</v>
      </c>
      <c r="E16" s="80">
        <v>0.0015908559717470955</v>
      </c>
      <c r="F16" s="80">
        <v>0.025031944</v>
      </c>
      <c r="G16" s="80">
        <v>0.001925551898691375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-0.32499998807907104</v>
      </c>
      <c r="D17" s="83">
        <v>-0.012306006999999999</v>
      </c>
      <c r="E17" s="80">
        <v>0.0012118470753960666</v>
      </c>
      <c r="F17" s="80">
        <v>0.011720188</v>
      </c>
      <c r="G17" s="80">
        <v>0.0023124400738842956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24.92300033569336</v>
      </c>
      <c r="D18" s="83">
        <v>0.0070448384099999995</v>
      </c>
      <c r="E18" s="80">
        <v>0.0005859945366977967</v>
      </c>
      <c r="F18" s="80">
        <v>0.05023694599999999</v>
      </c>
      <c r="G18" s="80">
        <v>0.001460521433986782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-0.4090000092983246</v>
      </c>
      <c r="D19" s="86">
        <v>-0.16995923999999998</v>
      </c>
      <c r="E19" s="80">
        <v>0.0005492364658372397</v>
      </c>
      <c r="F19" s="80">
        <v>0.0173072063</v>
      </c>
      <c r="G19" s="80">
        <v>0.0012402125624947373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0.1139813</v>
      </c>
      <c r="D20" s="88">
        <v>-0.00142905692</v>
      </c>
      <c r="E20" s="89">
        <v>0.0005592966241325312</v>
      </c>
      <c r="F20" s="89">
        <v>0.0017185291</v>
      </c>
      <c r="G20" s="89">
        <v>0.000544458611934957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0.5273020999999999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0.3545692550587441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-3.7523173</v>
      </c>
      <c r="I25" s="101" t="s">
        <v>49</v>
      </c>
      <c r="J25" s="102"/>
      <c r="K25" s="101"/>
      <c r="L25" s="104">
        <v>3.784438561077411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2.9611475907248503</v>
      </c>
      <c r="I26" s="106" t="s">
        <v>53</v>
      </c>
      <c r="J26" s="107"/>
      <c r="K26" s="106"/>
      <c r="L26" s="109">
        <v>0.08084102430628926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HCMQAP144_pos4ap2res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3.451256210000001E-05</v>
      </c>
      <c r="L2" s="55">
        <v>1.8945994120050324E-07</v>
      </c>
      <c r="M2" s="55">
        <v>9.3250319E-05</v>
      </c>
      <c r="N2" s="56">
        <v>5.294097103287105E-08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-3.03772059E-05</v>
      </c>
      <c r="L3" s="55">
        <v>7.946522813056158E-08</v>
      </c>
      <c r="M3" s="55">
        <v>8.930141E-06</v>
      </c>
      <c r="N3" s="56">
        <v>1.1200222718319887E-07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-0.0020877371006652735</v>
      </c>
      <c r="L4" s="55">
        <v>-3.2797343396204014E-05</v>
      </c>
      <c r="M4" s="55">
        <v>7.399431850843662E-08</v>
      </c>
      <c r="N4" s="56">
        <v>7.8541129</v>
      </c>
    </row>
    <row r="5" spans="1:14" ht="15" customHeight="1" thickBot="1">
      <c r="A5" t="s">
        <v>18</v>
      </c>
      <c r="B5" s="59">
        <v>37963.32622685185</v>
      </c>
      <c r="D5" s="60"/>
      <c r="E5" s="61" t="s">
        <v>79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2780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7" t="s">
        <v>27</v>
      </c>
      <c r="B8" s="72" t="s">
        <v>28</v>
      </c>
      <c r="D8" s="77">
        <v>0.52519513</v>
      </c>
      <c r="E8" s="78">
        <v>0.019213220124346814</v>
      </c>
      <c r="F8" s="115">
        <v>5.799913399999999</v>
      </c>
      <c r="G8" s="78">
        <v>0.024643635307027238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-0.533488424</v>
      </c>
      <c r="E9" s="80">
        <v>0.011032132497891263</v>
      </c>
      <c r="F9" s="80">
        <v>2.3907266</v>
      </c>
      <c r="G9" s="80">
        <v>0.018967324902048135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-0.53700004</v>
      </c>
      <c r="E10" s="80">
        <v>0.017420210804619547</v>
      </c>
      <c r="F10" s="80">
        <v>-0.77531304</v>
      </c>
      <c r="G10" s="80">
        <v>0.01283608371943586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5</v>
      </c>
      <c r="D11" s="116">
        <v>14.732191</v>
      </c>
      <c r="E11" s="78">
        <v>0.01006870865403891</v>
      </c>
      <c r="F11" s="115">
        <v>2.3172519</v>
      </c>
      <c r="G11" s="78">
        <v>0.003986639178365962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-0.45118486</v>
      </c>
      <c r="E12" s="80">
        <v>0.008301115133847037</v>
      </c>
      <c r="F12" s="80">
        <v>0.34233519</v>
      </c>
      <c r="G12" s="80">
        <v>0.006905001227328234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13.894654</v>
      </c>
      <c r="D13" s="83">
        <v>-0.011481000000000002</v>
      </c>
      <c r="E13" s="80">
        <v>0.009165764137811968</v>
      </c>
      <c r="F13" s="80">
        <v>0.17840894999999998</v>
      </c>
      <c r="G13" s="80">
        <v>0.007767960347993968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0.10488076099999999</v>
      </c>
      <c r="E14" s="80">
        <v>0.005746212562565541</v>
      </c>
      <c r="F14" s="80">
        <v>-0.0016041309999999989</v>
      </c>
      <c r="G14" s="80">
        <v>0.007730855342526078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-0.31603146</v>
      </c>
      <c r="E15" s="78">
        <v>0.003561015811451648</v>
      </c>
      <c r="F15" s="78">
        <v>0.334042</v>
      </c>
      <c r="G15" s="78">
        <v>0.0032476968078932822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12.513</v>
      </c>
      <c r="D16" s="83">
        <v>-0.058352789</v>
      </c>
      <c r="E16" s="80">
        <v>0.002853999541205844</v>
      </c>
      <c r="F16" s="80">
        <v>0.017215862000000002</v>
      </c>
      <c r="G16" s="80">
        <v>0.0020356151720145963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0.3569999933242798</v>
      </c>
      <c r="D17" s="83">
        <v>-0.025811749999999994</v>
      </c>
      <c r="E17" s="80">
        <v>0.0008894507343076135</v>
      </c>
      <c r="F17" s="80">
        <v>0.010809243</v>
      </c>
      <c r="G17" s="80">
        <v>0.0019347473111845895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2.5429999828338623</v>
      </c>
      <c r="D18" s="83">
        <v>0.019752312799999998</v>
      </c>
      <c r="E18" s="80">
        <v>0.0029241881941017285</v>
      </c>
      <c r="F18" s="80">
        <v>0.040976069999999996</v>
      </c>
      <c r="G18" s="80">
        <v>0.0005944646158772341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0.26600000262260437</v>
      </c>
      <c r="D19" s="83">
        <v>-0.13114211000000003</v>
      </c>
      <c r="E19" s="80">
        <v>0.0011825395297393915</v>
      </c>
      <c r="F19" s="80">
        <v>-0.0080828984</v>
      </c>
      <c r="G19" s="80">
        <v>0.0017401232194893628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0.2690096</v>
      </c>
      <c r="D20" s="88">
        <v>-0.00041570756</v>
      </c>
      <c r="E20" s="89">
        <v>0.0007444171521165229</v>
      </c>
      <c r="F20" s="89">
        <v>0.0046996668</v>
      </c>
      <c r="G20" s="89">
        <v>0.001347302776827858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0.7635495999999999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0.4500079010946686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-2.0879947000000003</v>
      </c>
      <c r="I25" s="101" t="s">
        <v>49</v>
      </c>
      <c r="J25" s="102"/>
      <c r="K25" s="101"/>
      <c r="L25" s="104">
        <v>14.913319819159469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5.82364365084912</v>
      </c>
      <c r="I26" s="106" t="s">
        <v>53</v>
      </c>
      <c r="J26" s="107"/>
      <c r="K26" s="106"/>
      <c r="L26" s="109">
        <v>0.45984773727151423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HCMQAP144_pos5ap2res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G35"/>
  <sheetViews>
    <sheetView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39" t="s">
        <v>119</v>
      </c>
      <c r="B1" s="131" t="s">
        <v>68</v>
      </c>
      <c r="C1" s="121" t="s">
        <v>72</v>
      </c>
      <c r="D1" s="121" t="s">
        <v>75</v>
      </c>
      <c r="E1" s="121" t="s">
        <v>77</v>
      </c>
      <c r="F1" s="128" t="s">
        <v>80</v>
      </c>
      <c r="G1" s="162" t="s">
        <v>120</v>
      </c>
    </row>
    <row r="2" spans="1:7" ht="13.5" thickBot="1">
      <c r="A2" s="140" t="s">
        <v>89</v>
      </c>
      <c r="B2" s="132">
        <v>-2.248572</v>
      </c>
      <c r="C2" s="123">
        <v>-3.7544563</v>
      </c>
      <c r="D2" s="123">
        <v>-3.7524004</v>
      </c>
      <c r="E2" s="123">
        <v>-3.7523173</v>
      </c>
      <c r="F2" s="129">
        <v>-2.0879947000000003</v>
      </c>
      <c r="G2" s="163">
        <v>3.116191103609377</v>
      </c>
    </row>
    <row r="3" spans="1:7" ht="14.25" thickBot="1" thickTop="1">
      <c r="A3" s="148" t="s">
        <v>88</v>
      </c>
      <c r="B3" s="149" t="s">
        <v>83</v>
      </c>
      <c r="C3" s="150" t="s">
        <v>84</v>
      </c>
      <c r="D3" s="150" t="s">
        <v>85</v>
      </c>
      <c r="E3" s="150" t="s">
        <v>86</v>
      </c>
      <c r="F3" s="151" t="s">
        <v>87</v>
      </c>
      <c r="G3" s="157" t="s">
        <v>121</v>
      </c>
    </row>
    <row r="4" spans="1:7" ht="12.75">
      <c r="A4" s="145" t="s">
        <v>90</v>
      </c>
      <c r="B4" s="146">
        <v>1.7150408000000001</v>
      </c>
      <c r="C4" s="147">
        <v>0.35074848000000003</v>
      </c>
      <c r="D4" s="147">
        <v>1.326584</v>
      </c>
      <c r="E4" s="147">
        <v>0.4991807399999999</v>
      </c>
      <c r="F4" s="152">
        <v>0.52519513</v>
      </c>
      <c r="G4" s="158">
        <v>0.8413082982879574</v>
      </c>
    </row>
    <row r="5" spans="1:7" ht="12.75">
      <c r="A5" s="140" t="s">
        <v>92</v>
      </c>
      <c r="B5" s="134">
        <v>1.1550608699999998</v>
      </c>
      <c r="C5" s="118">
        <v>0.9551423399999999</v>
      </c>
      <c r="D5" s="118">
        <v>0.60267943</v>
      </c>
      <c r="E5" s="118">
        <v>0.5967504</v>
      </c>
      <c r="F5" s="153">
        <v>-0.533488424</v>
      </c>
      <c r="G5" s="159">
        <v>0.6136321623037576</v>
      </c>
    </row>
    <row r="6" spans="1:7" ht="12.75">
      <c r="A6" s="140" t="s">
        <v>94</v>
      </c>
      <c r="B6" s="134">
        <v>0.18672841</v>
      </c>
      <c r="C6" s="118">
        <v>-0.115487227</v>
      </c>
      <c r="D6" s="118">
        <v>-0.34606221000000004</v>
      </c>
      <c r="E6" s="118">
        <v>0.243849335</v>
      </c>
      <c r="F6" s="153">
        <v>-0.53700004</v>
      </c>
      <c r="G6" s="159">
        <v>-0.09736867496032663</v>
      </c>
    </row>
    <row r="7" spans="1:7" ht="12.75">
      <c r="A7" s="140" t="s">
        <v>96</v>
      </c>
      <c r="B7" s="133">
        <v>4.6107380000000004</v>
      </c>
      <c r="C7" s="117">
        <v>4.2785942</v>
      </c>
      <c r="D7" s="117">
        <v>4.4407409</v>
      </c>
      <c r="E7" s="117">
        <v>3.7590353</v>
      </c>
      <c r="F7" s="154">
        <v>14.732191</v>
      </c>
      <c r="G7" s="159">
        <v>5.640042422596459</v>
      </c>
    </row>
    <row r="8" spans="1:7" ht="12.75">
      <c r="A8" s="140" t="s">
        <v>98</v>
      </c>
      <c r="B8" s="134">
        <v>-0.22502572999999998</v>
      </c>
      <c r="C8" s="118">
        <v>0.0206787622</v>
      </c>
      <c r="D8" s="118">
        <v>0.04188237200000001</v>
      </c>
      <c r="E8" s="118">
        <v>0.27353234000000004</v>
      </c>
      <c r="F8" s="153">
        <v>-0.45118486</v>
      </c>
      <c r="G8" s="159">
        <v>-0.01198282824762399</v>
      </c>
    </row>
    <row r="9" spans="1:7" ht="12.75">
      <c r="A9" s="140" t="s">
        <v>100</v>
      </c>
      <c r="B9" s="134">
        <v>0.139163797</v>
      </c>
      <c r="C9" s="118">
        <v>-0.037106444</v>
      </c>
      <c r="D9" s="118">
        <v>0.004189361</v>
      </c>
      <c r="E9" s="118">
        <v>0.07403201129</v>
      </c>
      <c r="F9" s="153">
        <v>-0.011481000000000002</v>
      </c>
      <c r="G9" s="159">
        <v>0.02841447500856394</v>
      </c>
    </row>
    <row r="10" spans="1:7" ht="12.75">
      <c r="A10" s="140" t="s">
        <v>102</v>
      </c>
      <c r="B10" s="134">
        <v>-0.004115823000000001</v>
      </c>
      <c r="C10" s="118">
        <v>0.0035463863000000004</v>
      </c>
      <c r="D10" s="118">
        <v>0.066688936</v>
      </c>
      <c r="E10" s="118">
        <v>0.050438625</v>
      </c>
      <c r="F10" s="153">
        <v>0.10488076099999999</v>
      </c>
      <c r="G10" s="159">
        <v>0.04248312594920011</v>
      </c>
    </row>
    <row r="11" spans="1:7" ht="12.75">
      <c r="A11" s="140" t="s">
        <v>104</v>
      </c>
      <c r="B11" s="133">
        <v>-0.30037453999999997</v>
      </c>
      <c r="C11" s="117">
        <v>-0.013576006999999998</v>
      </c>
      <c r="D11" s="117">
        <v>0.009161002</v>
      </c>
      <c r="E11" s="117">
        <v>-0.06284935500000001</v>
      </c>
      <c r="F11" s="155">
        <v>-0.31603146</v>
      </c>
      <c r="G11" s="159">
        <v>-0.10180416074571416</v>
      </c>
    </row>
    <row r="12" spans="1:7" ht="12.75">
      <c r="A12" s="140" t="s">
        <v>106</v>
      </c>
      <c r="B12" s="134">
        <v>-0.028908361700000003</v>
      </c>
      <c r="C12" s="118">
        <v>-0.017555853161</v>
      </c>
      <c r="D12" s="118">
        <v>-0.04140038</v>
      </c>
      <c r="E12" s="118">
        <v>0.0050134305</v>
      </c>
      <c r="F12" s="153">
        <v>-0.058352789</v>
      </c>
      <c r="G12" s="159">
        <v>-0.024961581390203318</v>
      </c>
    </row>
    <row r="13" spans="1:7" ht="12.75">
      <c r="A13" s="140" t="s">
        <v>108</v>
      </c>
      <c r="B13" s="134">
        <v>-0.008527422000000002</v>
      </c>
      <c r="C13" s="118">
        <v>0.0028158390000000005</v>
      </c>
      <c r="D13" s="118">
        <v>-0.003152395</v>
      </c>
      <c r="E13" s="118">
        <v>-0.012306006999999999</v>
      </c>
      <c r="F13" s="153">
        <v>-0.025811749999999994</v>
      </c>
      <c r="G13" s="159">
        <v>-0.007726626686269052</v>
      </c>
    </row>
    <row r="14" spans="1:7" ht="12.75">
      <c r="A14" s="140" t="s">
        <v>110</v>
      </c>
      <c r="B14" s="134">
        <v>0.036597081999999996</v>
      </c>
      <c r="C14" s="118">
        <v>0.015382635</v>
      </c>
      <c r="D14" s="118">
        <v>0.0112098702</v>
      </c>
      <c r="E14" s="118">
        <v>0.0070448384099999995</v>
      </c>
      <c r="F14" s="153">
        <v>0.019752312799999998</v>
      </c>
      <c r="G14" s="159">
        <v>0.016016278063431266</v>
      </c>
    </row>
    <row r="15" spans="1:7" ht="12.75">
      <c r="A15" s="140" t="s">
        <v>112</v>
      </c>
      <c r="B15" s="135">
        <v>-0.19661926999999998</v>
      </c>
      <c r="C15" s="119">
        <v>-0.17519129</v>
      </c>
      <c r="D15" s="119">
        <v>-0.17710037</v>
      </c>
      <c r="E15" s="119">
        <v>-0.16995923999999998</v>
      </c>
      <c r="F15" s="153">
        <v>-0.13114211000000003</v>
      </c>
      <c r="G15" s="159">
        <v>-0.17158384494234913</v>
      </c>
    </row>
    <row r="16" spans="1:7" ht="12.75">
      <c r="A16" s="140" t="s">
        <v>114</v>
      </c>
      <c r="B16" s="134">
        <v>-0.0001528939000000001</v>
      </c>
      <c r="C16" s="118">
        <v>-0.0018737874079999997</v>
      </c>
      <c r="D16" s="118">
        <v>-0.002269442453</v>
      </c>
      <c r="E16" s="118">
        <v>-0.00142905692</v>
      </c>
      <c r="F16" s="153">
        <v>-0.00041570756</v>
      </c>
      <c r="G16" s="159">
        <v>-0.0014186548276852217</v>
      </c>
    </row>
    <row r="17" spans="1:7" ht="12.75">
      <c r="A17" s="140" t="s">
        <v>91</v>
      </c>
      <c r="B17" s="133">
        <v>0.13685739619999998</v>
      </c>
      <c r="C17" s="117">
        <v>-1.3452199999999999</v>
      </c>
      <c r="D17" s="117">
        <v>-2.9961577999999998</v>
      </c>
      <c r="E17" s="117">
        <v>-2.9187692</v>
      </c>
      <c r="F17" s="154">
        <v>5.799913399999999</v>
      </c>
      <c r="G17" s="159">
        <v>-0.9507454459145421</v>
      </c>
    </row>
    <row r="18" spans="1:7" ht="12.75">
      <c r="A18" s="140" t="s">
        <v>93</v>
      </c>
      <c r="B18" s="134">
        <v>0.62836504</v>
      </c>
      <c r="C18" s="118">
        <v>2.2982384</v>
      </c>
      <c r="D18" s="118">
        <v>2.5773882</v>
      </c>
      <c r="E18" s="119">
        <v>2.659435</v>
      </c>
      <c r="F18" s="153">
        <v>2.3907266</v>
      </c>
      <c r="G18" s="160">
        <v>2.2239290382543104</v>
      </c>
    </row>
    <row r="19" spans="1:7" ht="12.75">
      <c r="A19" s="140" t="s">
        <v>95</v>
      </c>
      <c r="B19" s="134">
        <v>0.15685659</v>
      </c>
      <c r="C19" s="118">
        <v>-0.20744411999999998</v>
      </c>
      <c r="D19" s="118">
        <v>-0.77680321</v>
      </c>
      <c r="E19" s="118">
        <v>-0.8278613</v>
      </c>
      <c r="F19" s="153">
        <v>-0.77531304</v>
      </c>
      <c r="G19" s="159">
        <v>-0.5172092287491762</v>
      </c>
    </row>
    <row r="20" spans="1:7" ht="12.75">
      <c r="A20" s="140" t="s">
        <v>97</v>
      </c>
      <c r="B20" s="133">
        <v>0.5791273799999999</v>
      </c>
      <c r="C20" s="117">
        <v>0.7698471999999998</v>
      </c>
      <c r="D20" s="117">
        <v>0.9619445299999999</v>
      </c>
      <c r="E20" s="117">
        <v>0.43775431000000004</v>
      </c>
      <c r="F20" s="154">
        <v>2.3172519</v>
      </c>
      <c r="G20" s="159">
        <v>0.9158379426413537</v>
      </c>
    </row>
    <row r="21" spans="1:7" ht="12.75">
      <c r="A21" s="140" t="s">
        <v>99</v>
      </c>
      <c r="B21" s="134">
        <v>-0.028407073999999997</v>
      </c>
      <c r="C21" s="118">
        <v>-0.140676065</v>
      </c>
      <c r="D21" s="118">
        <v>-0.21146724</v>
      </c>
      <c r="E21" s="118">
        <v>-0.22953782</v>
      </c>
      <c r="F21" s="153">
        <v>0.34233519</v>
      </c>
      <c r="G21" s="159">
        <v>-0.09823527755283058</v>
      </c>
    </row>
    <row r="22" spans="1:7" ht="12.75">
      <c r="A22" s="140" t="s">
        <v>101</v>
      </c>
      <c r="B22" s="134">
        <v>0.058305622999999994</v>
      </c>
      <c r="C22" s="118">
        <v>0.18559164999999997</v>
      </c>
      <c r="D22" s="118">
        <v>0.20198767</v>
      </c>
      <c r="E22" s="118">
        <v>0.22324289</v>
      </c>
      <c r="F22" s="153">
        <v>0.17840894999999998</v>
      </c>
      <c r="G22" s="159">
        <v>0.17928188847579907</v>
      </c>
    </row>
    <row r="23" spans="1:7" ht="12.75">
      <c r="A23" s="140" t="s">
        <v>103</v>
      </c>
      <c r="B23" s="134">
        <v>0.043818567</v>
      </c>
      <c r="C23" s="118">
        <v>0.060813693999999995</v>
      </c>
      <c r="D23" s="118">
        <v>0.032376756699999995</v>
      </c>
      <c r="E23" s="118">
        <v>0.06490464700000001</v>
      </c>
      <c r="F23" s="153">
        <v>-0.0016041309999999989</v>
      </c>
      <c r="G23" s="159">
        <v>0.04414894683104511</v>
      </c>
    </row>
    <row r="24" spans="1:7" ht="12.75">
      <c r="A24" s="140" t="s">
        <v>105</v>
      </c>
      <c r="B24" s="133">
        <v>0.13927729</v>
      </c>
      <c r="C24" s="117">
        <v>0.11590509199999999</v>
      </c>
      <c r="D24" s="117">
        <v>0.08404902100000002</v>
      </c>
      <c r="E24" s="117">
        <v>0.050845154999999996</v>
      </c>
      <c r="F24" s="155">
        <v>0.334042</v>
      </c>
      <c r="G24" s="159">
        <v>0.12516149859534723</v>
      </c>
    </row>
    <row r="25" spans="1:7" ht="12.75">
      <c r="A25" s="140" t="s">
        <v>107</v>
      </c>
      <c r="B25" s="134">
        <v>0.0118535767</v>
      </c>
      <c r="C25" s="118">
        <v>0.0193621683</v>
      </c>
      <c r="D25" s="118">
        <v>0.0200388038</v>
      </c>
      <c r="E25" s="118">
        <v>0.025031944</v>
      </c>
      <c r="F25" s="153">
        <v>0.017215862000000002</v>
      </c>
      <c r="G25" s="159">
        <v>0.019519180384518182</v>
      </c>
    </row>
    <row r="26" spans="1:7" ht="12.75">
      <c r="A26" s="140" t="s">
        <v>109</v>
      </c>
      <c r="B26" s="134">
        <v>0.012050083</v>
      </c>
      <c r="C26" s="118">
        <v>0.0080652053</v>
      </c>
      <c r="D26" s="118">
        <v>0.010206510000000002</v>
      </c>
      <c r="E26" s="118">
        <v>0.011720188</v>
      </c>
      <c r="F26" s="153">
        <v>0.010809243</v>
      </c>
      <c r="G26" s="159">
        <v>0.010401709139350008</v>
      </c>
    </row>
    <row r="27" spans="1:7" ht="12.75">
      <c r="A27" s="140" t="s">
        <v>111</v>
      </c>
      <c r="B27" s="134">
        <v>0.059723979999999996</v>
      </c>
      <c r="C27" s="118">
        <v>0.031098941</v>
      </c>
      <c r="D27" s="118">
        <v>0.025955636999999997</v>
      </c>
      <c r="E27" s="118">
        <v>0.05023694599999999</v>
      </c>
      <c r="F27" s="153">
        <v>0.040976069999999996</v>
      </c>
      <c r="G27" s="159">
        <v>0.03991551394158456</v>
      </c>
    </row>
    <row r="28" spans="1:7" ht="12.75">
      <c r="A28" s="140" t="s">
        <v>113</v>
      </c>
      <c r="B28" s="134">
        <v>0.020926115</v>
      </c>
      <c r="C28" s="118">
        <v>0.021865046</v>
      </c>
      <c r="D28" s="118">
        <v>0.020138457999999998</v>
      </c>
      <c r="E28" s="118">
        <v>0.0173072063</v>
      </c>
      <c r="F28" s="153">
        <v>-0.0080828984</v>
      </c>
      <c r="G28" s="159">
        <v>0.016208135238563785</v>
      </c>
    </row>
    <row r="29" spans="1:7" ht="13.5" thickBot="1">
      <c r="A29" s="141" t="s">
        <v>115</v>
      </c>
      <c r="B29" s="136">
        <v>-0.0004505195</v>
      </c>
      <c r="C29" s="120">
        <v>0.0009569826000000002</v>
      </c>
      <c r="D29" s="120">
        <v>-0.0011517293</v>
      </c>
      <c r="E29" s="120">
        <v>0.0017185291</v>
      </c>
      <c r="F29" s="156">
        <v>0.0046996668</v>
      </c>
      <c r="G29" s="161">
        <v>0.0009309926635959043</v>
      </c>
    </row>
    <row r="30" spans="1:7" ht="13.5" thickTop="1">
      <c r="A30" s="142" t="s">
        <v>116</v>
      </c>
      <c r="B30" s="137">
        <v>0.04055301411068917</v>
      </c>
      <c r="C30" s="126">
        <v>0.167155988528102</v>
      </c>
      <c r="D30" s="126">
        <v>0.27562060039661446</v>
      </c>
      <c r="E30" s="126">
        <v>0.3545692550587441</v>
      </c>
      <c r="F30" s="122">
        <v>0.4500079010946686</v>
      </c>
      <c r="G30" s="162" t="s">
        <v>127</v>
      </c>
    </row>
    <row r="31" spans="1:7" ht="13.5" thickBot="1">
      <c r="A31" s="143" t="s">
        <v>117</v>
      </c>
      <c r="B31" s="132">
        <v>14.184571</v>
      </c>
      <c r="C31" s="123">
        <v>14.007569</v>
      </c>
      <c r="D31" s="123">
        <v>13.83667</v>
      </c>
      <c r="E31" s="123">
        <v>13.830567</v>
      </c>
      <c r="F31" s="124">
        <v>13.894654</v>
      </c>
      <c r="G31" s="164">
        <v>-209.64</v>
      </c>
    </row>
    <row r="32" spans="1:7" ht="15.75" thickBot="1" thickTop="1">
      <c r="A32" s="144" t="s">
        <v>118</v>
      </c>
      <c r="B32" s="138">
        <v>0.43299999833106995</v>
      </c>
      <c r="C32" s="127">
        <v>-0.1445000022649765</v>
      </c>
      <c r="D32" s="127">
        <v>0.41750000417232513</v>
      </c>
      <c r="E32" s="127">
        <v>-0.3669999986886978</v>
      </c>
      <c r="F32" s="125">
        <v>0.3114999979734421</v>
      </c>
      <c r="G32" s="130" t="s">
        <v>126</v>
      </c>
    </row>
    <row r="33" spans="1:7" ht="15" thickTop="1">
      <c r="A33" t="s">
        <v>122</v>
      </c>
      <c r="G33" s="32" t="s">
        <v>123</v>
      </c>
    </row>
    <row r="34" ht="14.25">
      <c r="A34" t="s">
        <v>124</v>
      </c>
    </row>
    <row r="35" spans="1:2" ht="12.75">
      <c r="A35" t="s">
        <v>125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70.5" style="165" bestFit="1" customWidth="1"/>
    <col min="2" max="3" width="14.83203125" style="165" bestFit="1" customWidth="1"/>
    <col min="4" max="4" width="16" style="165" bestFit="1" customWidth="1"/>
    <col min="5" max="5" width="22.16015625" style="165" bestFit="1" customWidth="1"/>
    <col min="6" max="6" width="14.83203125" style="165" bestFit="1" customWidth="1"/>
    <col min="7" max="7" width="15.33203125" style="165" bestFit="1" customWidth="1"/>
    <col min="8" max="8" width="14.16015625" style="165" bestFit="1" customWidth="1"/>
    <col min="9" max="9" width="14.83203125" style="165" bestFit="1" customWidth="1"/>
    <col min="10" max="10" width="6.33203125" style="165" bestFit="1" customWidth="1"/>
    <col min="11" max="11" width="15" style="165" bestFit="1" customWidth="1"/>
    <col min="12" max="16384" width="10.66015625" style="165" customWidth="1"/>
  </cols>
  <sheetData>
    <row r="1" spans="1:5" ht="12.75">
      <c r="A1" s="165" t="s">
        <v>128</v>
      </c>
      <c r="B1" s="165" t="s">
        <v>129</v>
      </c>
      <c r="C1" s="165" t="s">
        <v>130</v>
      </c>
      <c r="D1" s="165" t="s">
        <v>131</v>
      </c>
      <c r="E1" s="165" t="s">
        <v>28</v>
      </c>
    </row>
    <row r="3" spans="1:7" ht="12.75">
      <c r="A3" s="165" t="s">
        <v>132</v>
      </c>
      <c r="B3" s="165" t="s">
        <v>83</v>
      </c>
      <c r="C3" s="165" t="s">
        <v>84</v>
      </c>
      <c r="D3" s="165" t="s">
        <v>85</v>
      </c>
      <c r="E3" s="165" t="s">
        <v>86</v>
      </c>
      <c r="F3" s="165" t="s">
        <v>87</v>
      </c>
      <c r="G3" s="165" t="s">
        <v>133</v>
      </c>
    </row>
    <row r="4" spans="1:7" ht="12.75">
      <c r="A4" s="165" t="s">
        <v>134</v>
      </c>
      <c r="B4" s="165">
        <f>0.002246*1.0033</f>
        <v>0.0022534118</v>
      </c>
      <c r="C4" s="165">
        <f>0.003751*1.0033</f>
        <v>0.0037633783000000005</v>
      </c>
      <c r="D4" s="165">
        <f>0.003748*1.0033</f>
        <v>0.0037603684</v>
      </c>
      <c r="E4" s="165">
        <f>0.003748*1.0033</f>
        <v>0.0037603684</v>
      </c>
      <c r="F4" s="165">
        <f>0.002086*1.0033</f>
        <v>0.0020928838000000005</v>
      </c>
      <c r="G4" s="165">
        <f>0.011683*1.0033</f>
        <v>0.011721553900000002</v>
      </c>
    </row>
    <row r="5" spans="1:7" ht="12.75">
      <c r="A5" s="165" t="s">
        <v>135</v>
      </c>
      <c r="B5" s="165">
        <v>3.666729</v>
      </c>
      <c r="C5" s="165">
        <v>1.310308</v>
      </c>
      <c r="D5" s="165">
        <v>-0.004756</v>
      </c>
      <c r="E5" s="165">
        <v>-1.916247</v>
      </c>
      <c r="F5" s="165">
        <v>-2.844288</v>
      </c>
      <c r="G5" s="165">
        <v>4.664876</v>
      </c>
    </row>
    <row r="6" spans="1:7" ht="12.75">
      <c r="A6" s="165" t="s">
        <v>136</v>
      </c>
      <c r="B6" s="166">
        <v>-54.56315</v>
      </c>
      <c r="C6" s="166">
        <v>-3.469748</v>
      </c>
      <c r="D6" s="166">
        <v>68.33359</v>
      </c>
      <c r="E6" s="166">
        <v>12.57873</v>
      </c>
      <c r="F6" s="166">
        <v>-80.42068</v>
      </c>
      <c r="G6" s="166">
        <v>-9.528521E-05</v>
      </c>
    </row>
    <row r="7" spans="1:7" ht="12.75">
      <c r="A7" s="165" t="s">
        <v>137</v>
      </c>
      <c r="B7" s="166">
        <v>10000</v>
      </c>
      <c r="C7" s="166">
        <v>10000</v>
      </c>
      <c r="D7" s="166">
        <v>10000</v>
      </c>
      <c r="E7" s="166">
        <v>10000</v>
      </c>
      <c r="F7" s="166">
        <v>10000</v>
      </c>
      <c r="G7" s="166">
        <v>10000</v>
      </c>
    </row>
    <row r="8" spans="1:7" ht="12.75">
      <c r="A8" s="165" t="s">
        <v>90</v>
      </c>
      <c r="B8" s="166">
        <v>1.689052</v>
      </c>
      <c r="C8" s="166">
        <v>0.2879024</v>
      </c>
      <c r="D8" s="166">
        <v>1.249079</v>
      </c>
      <c r="E8" s="166">
        <v>0.507355</v>
      </c>
      <c r="F8" s="166">
        <v>0.6948652</v>
      </c>
      <c r="G8" s="166">
        <v>0.828463</v>
      </c>
    </row>
    <row r="9" spans="1:7" ht="12.75">
      <c r="A9" s="165" t="s">
        <v>92</v>
      </c>
      <c r="B9" s="166">
        <v>1.133367</v>
      </c>
      <c r="C9" s="166">
        <v>0.9434627</v>
      </c>
      <c r="D9" s="166">
        <v>0.6185319</v>
      </c>
      <c r="E9" s="166">
        <v>0.6021805</v>
      </c>
      <c r="F9" s="166">
        <v>-0.6189092</v>
      </c>
      <c r="G9" s="166">
        <v>0.6013961</v>
      </c>
    </row>
    <row r="10" spans="1:7" ht="12.75">
      <c r="A10" s="165" t="s">
        <v>94</v>
      </c>
      <c r="B10" s="166">
        <v>0.1053693</v>
      </c>
      <c r="C10" s="166">
        <v>-0.1497217</v>
      </c>
      <c r="D10" s="166">
        <v>-0.2405388</v>
      </c>
      <c r="E10" s="166">
        <v>0.2740985</v>
      </c>
      <c r="F10" s="166">
        <v>-0.9274825</v>
      </c>
      <c r="G10" s="166">
        <v>-0.1369495</v>
      </c>
    </row>
    <row r="11" spans="1:7" ht="12.75">
      <c r="A11" s="165" t="s">
        <v>96</v>
      </c>
      <c r="B11" s="166">
        <v>4.60355</v>
      </c>
      <c r="C11" s="166">
        <v>4.279132</v>
      </c>
      <c r="D11" s="166">
        <v>4.455012</v>
      </c>
      <c r="E11" s="166">
        <v>3.760297</v>
      </c>
      <c r="F11" s="166">
        <v>14.82761</v>
      </c>
      <c r="G11" s="166">
        <v>5.65557</v>
      </c>
    </row>
    <row r="12" spans="1:7" ht="12.75">
      <c r="A12" s="165" t="s">
        <v>98</v>
      </c>
      <c r="B12" s="166">
        <v>-0.2372019</v>
      </c>
      <c r="C12" s="166">
        <v>0.007380303</v>
      </c>
      <c r="D12" s="166">
        <v>0.02356116</v>
      </c>
      <c r="E12" s="166">
        <v>0.2736459</v>
      </c>
      <c r="F12" s="166">
        <v>-0.4378076</v>
      </c>
      <c r="G12" s="166">
        <v>-0.01952563</v>
      </c>
    </row>
    <row r="13" spans="1:7" ht="12.75">
      <c r="A13" s="165" t="s">
        <v>100</v>
      </c>
      <c r="B13" s="166">
        <v>0.1435256</v>
      </c>
      <c r="C13" s="166">
        <v>-0.04301882</v>
      </c>
      <c r="D13" s="166">
        <v>0.004689142</v>
      </c>
      <c r="E13" s="166">
        <v>0.08078735</v>
      </c>
      <c r="F13" s="166">
        <v>-0.0125015</v>
      </c>
      <c r="G13" s="166">
        <v>0.02923043</v>
      </c>
    </row>
    <row r="14" spans="1:7" ht="12.75">
      <c r="A14" s="165" t="s">
        <v>102</v>
      </c>
      <c r="B14" s="166">
        <v>0.03027756</v>
      </c>
      <c r="C14" s="166">
        <v>-0.002830035</v>
      </c>
      <c r="D14" s="166">
        <v>0.0620853</v>
      </c>
      <c r="E14" s="166">
        <v>0.05604409</v>
      </c>
      <c r="F14" s="166">
        <v>0.1946308</v>
      </c>
      <c r="G14" s="166">
        <v>0.05816325</v>
      </c>
    </row>
    <row r="15" spans="1:7" ht="12.75">
      <c r="A15" s="165" t="s">
        <v>138</v>
      </c>
      <c r="B15" s="166">
        <v>-0.3051833</v>
      </c>
      <c r="C15" s="166">
        <v>-0.0178018</v>
      </c>
      <c r="D15" s="166">
        <v>0.003178367</v>
      </c>
      <c r="E15" s="166">
        <v>-0.06161271</v>
      </c>
      <c r="F15" s="166">
        <v>-0.3010148</v>
      </c>
      <c r="G15" s="166">
        <v>-0.1026419</v>
      </c>
    </row>
    <row r="16" spans="1:7" ht="12.75">
      <c r="A16" s="165" t="s">
        <v>106</v>
      </c>
      <c r="B16" s="166">
        <v>-0.03644636</v>
      </c>
      <c r="C16" s="166">
        <v>-0.0222405</v>
      </c>
      <c r="D16" s="166">
        <v>-0.04651014</v>
      </c>
      <c r="E16" s="166">
        <v>0.002144022</v>
      </c>
      <c r="F16" s="166">
        <v>-0.06691982</v>
      </c>
      <c r="G16" s="166">
        <v>-0.0302424</v>
      </c>
    </row>
    <row r="17" spans="1:7" ht="12.75">
      <c r="A17" s="165" t="s">
        <v>108</v>
      </c>
      <c r="B17" s="166">
        <v>-0.005291075</v>
      </c>
      <c r="C17" s="166">
        <v>-0.0005312255</v>
      </c>
      <c r="D17" s="166">
        <v>-0.005587879</v>
      </c>
      <c r="E17" s="166">
        <v>-0.009546935</v>
      </c>
      <c r="F17" s="166">
        <v>-0.01829561</v>
      </c>
      <c r="G17" s="166">
        <v>-0.006981451</v>
      </c>
    </row>
    <row r="18" spans="1:7" ht="12.75">
      <c r="A18" s="165" t="s">
        <v>110</v>
      </c>
      <c r="B18" s="166">
        <v>0.03916037</v>
      </c>
      <c r="C18" s="166">
        <v>0.01464593</v>
      </c>
      <c r="D18" s="166">
        <v>0.005653373</v>
      </c>
      <c r="E18" s="166">
        <v>0.008024069</v>
      </c>
      <c r="F18" s="166">
        <v>0.02625984</v>
      </c>
      <c r="G18" s="166">
        <v>0.0159788</v>
      </c>
    </row>
    <row r="19" spans="1:7" ht="12.75">
      <c r="A19" s="165" t="s">
        <v>112</v>
      </c>
      <c r="B19" s="166">
        <v>-0.1973211</v>
      </c>
      <c r="C19" s="166">
        <v>-0.1755394</v>
      </c>
      <c r="D19" s="166">
        <v>-0.1771114</v>
      </c>
      <c r="E19" s="166">
        <v>-0.1694217</v>
      </c>
      <c r="F19" s="166">
        <v>-0.1312428</v>
      </c>
      <c r="G19" s="166">
        <v>-0.1716557</v>
      </c>
    </row>
    <row r="20" spans="1:7" ht="12.75">
      <c r="A20" s="165" t="s">
        <v>114</v>
      </c>
      <c r="B20" s="166">
        <v>-0.0001364019</v>
      </c>
      <c r="C20" s="166">
        <v>-0.001878757</v>
      </c>
      <c r="D20" s="166">
        <v>-0.002292315</v>
      </c>
      <c r="E20" s="166">
        <v>-0.001378193</v>
      </c>
      <c r="F20" s="166">
        <v>-0.0001987044</v>
      </c>
      <c r="G20" s="166">
        <v>-0.001381688</v>
      </c>
    </row>
    <row r="21" spans="1:7" ht="12.75">
      <c r="A21" s="165" t="s">
        <v>139</v>
      </c>
      <c r="B21" s="166">
        <v>-88.86714</v>
      </c>
      <c r="C21" s="166">
        <v>84.52092</v>
      </c>
      <c r="D21" s="166">
        <v>106.6294</v>
      </c>
      <c r="E21" s="166">
        <v>-39.30802</v>
      </c>
      <c r="F21" s="166">
        <v>-177.2746</v>
      </c>
      <c r="G21" s="166">
        <v>0.0008555296</v>
      </c>
    </row>
    <row r="22" spans="1:7" ht="12.75">
      <c r="A22" s="165" t="s">
        <v>140</v>
      </c>
      <c r="B22" s="166">
        <v>73.33589</v>
      </c>
      <c r="C22" s="166">
        <v>26.20623</v>
      </c>
      <c r="D22" s="166">
        <v>-0.09511446</v>
      </c>
      <c r="E22" s="166">
        <v>-38.32514</v>
      </c>
      <c r="F22" s="166">
        <v>-56.88637</v>
      </c>
      <c r="G22" s="166">
        <v>0</v>
      </c>
    </row>
    <row r="23" spans="1:7" ht="12.75">
      <c r="A23" s="165" t="s">
        <v>91</v>
      </c>
      <c r="B23" s="166">
        <v>0.1152307</v>
      </c>
      <c r="C23" s="166">
        <v>-1.322515</v>
      </c>
      <c r="D23" s="166">
        <v>-2.925062</v>
      </c>
      <c r="E23" s="166">
        <v>-2.920225</v>
      </c>
      <c r="F23" s="166">
        <v>5.767571</v>
      </c>
      <c r="G23" s="166">
        <v>-0.9360467</v>
      </c>
    </row>
    <row r="24" spans="1:7" ht="12.75">
      <c r="A24" s="165" t="s">
        <v>141</v>
      </c>
      <c r="B24" s="166">
        <v>0.6397746</v>
      </c>
      <c r="C24" s="166">
        <v>2.298352</v>
      </c>
      <c r="D24" s="166">
        <v>2.546605</v>
      </c>
      <c r="E24" s="166">
        <v>2.644465</v>
      </c>
      <c r="F24" s="166">
        <v>2.497926</v>
      </c>
      <c r="G24" s="166">
        <v>2.228947</v>
      </c>
    </row>
    <row r="25" spans="1:7" ht="12.75">
      <c r="A25" s="165" t="s">
        <v>95</v>
      </c>
      <c r="B25" s="166">
        <v>-0.06449354</v>
      </c>
      <c r="C25" s="166">
        <v>-0.02875963</v>
      </c>
      <c r="D25" s="166">
        <v>-0.5067652</v>
      </c>
      <c r="E25" s="166">
        <v>-0.901191</v>
      </c>
      <c r="F25" s="166">
        <v>-2.165674</v>
      </c>
      <c r="G25" s="166">
        <v>-0.6449102</v>
      </c>
    </row>
    <row r="26" spans="1:7" ht="12.75">
      <c r="A26" s="165" t="s">
        <v>142</v>
      </c>
      <c r="B26" s="166">
        <v>0.7026817</v>
      </c>
      <c r="C26" s="166">
        <v>0.8075238</v>
      </c>
      <c r="D26" s="166">
        <v>0.9583929</v>
      </c>
      <c r="E26" s="166">
        <v>0.3891941</v>
      </c>
      <c r="F26" s="166">
        <v>2.10561</v>
      </c>
      <c r="G26" s="166">
        <v>0.9018005</v>
      </c>
    </row>
    <row r="27" spans="1:7" ht="12.75">
      <c r="A27" s="165" t="s">
        <v>99</v>
      </c>
      <c r="B27" s="166">
        <v>-0.04056082</v>
      </c>
      <c r="C27" s="166">
        <v>-0.1395141</v>
      </c>
      <c r="D27" s="166">
        <v>-0.197716</v>
      </c>
      <c r="E27" s="166">
        <v>-0.2301816</v>
      </c>
      <c r="F27" s="166">
        <v>0.3450065</v>
      </c>
      <c r="G27" s="166">
        <v>-0.09620091</v>
      </c>
    </row>
    <row r="28" spans="1:7" ht="12.75">
      <c r="A28" s="165" t="s">
        <v>101</v>
      </c>
      <c r="B28" s="166">
        <v>0.04893193</v>
      </c>
      <c r="C28" s="166">
        <v>0.1822749</v>
      </c>
      <c r="D28" s="166">
        <v>0.2067118</v>
      </c>
      <c r="E28" s="166">
        <v>0.2183911</v>
      </c>
      <c r="F28" s="166">
        <v>0.1452865</v>
      </c>
      <c r="G28" s="166">
        <v>0.1726673</v>
      </c>
    </row>
    <row r="29" spans="1:7" ht="12.75">
      <c r="A29" s="165" t="s">
        <v>103</v>
      </c>
      <c r="B29" s="166">
        <v>0.06071816</v>
      </c>
      <c r="C29" s="166">
        <v>0.05933541</v>
      </c>
      <c r="D29" s="166">
        <v>0.03790572</v>
      </c>
      <c r="E29" s="166">
        <v>0.06700355</v>
      </c>
      <c r="F29" s="166">
        <v>0.01993106</v>
      </c>
      <c r="G29" s="166">
        <v>0.05094771</v>
      </c>
    </row>
    <row r="30" spans="1:7" ht="12.75">
      <c r="A30" s="165" t="s">
        <v>105</v>
      </c>
      <c r="B30" s="166">
        <v>0.1332191</v>
      </c>
      <c r="C30" s="166">
        <v>0.1151452</v>
      </c>
      <c r="D30" s="166">
        <v>0.08154885</v>
      </c>
      <c r="E30" s="166">
        <v>0.05310464</v>
      </c>
      <c r="F30" s="166">
        <v>0.3540885</v>
      </c>
      <c r="G30" s="166">
        <v>0.1267299</v>
      </c>
    </row>
    <row r="31" spans="1:7" ht="12.75">
      <c r="A31" s="165" t="s">
        <v>107</v>
      </c>
      <c r="B31" s="166">
        <v>0.00924588</v>
      </c>
      <c r="C31" s="166">
        <v>0.01888534</v>
      </c>
      <c r="D31" s="166">
        <v>0.01952893</v>
      </c>
      <c r="E31" s="166">
        <v>0.0246202</v>
      </c>
      <c r="F31" s="166">
        <v>0.02335263</v>
      </c>
      <c r="G31" s="166">
        <v>0.01962866</v>
      </c>
    </row>
    <row r="32" spans="1:7" ht="12.75">
      <c r="A32" s="165" t="s">
        <v>109</v>
      </c>
      <c r="B32" s="166">
        <v>0.0002681498</v>
      </c>
      <c r="C32" s="166">
        <v>0.00865474</v>
      </c>
      <c r="D32" s="166">
        <v>0.01219299</v>
      </c>
      <c r="E32" s="166">
        <v>0.01125841</v>
      </c>
      <c r="F32" s="166">
        <v>-0.001379879</v>
      </c>
      <c r="G32" s="166">
        <v>0.007580092</v>
      </c>
    </row>
    <row r="33" spans="1:7" ht="12.75">
      <c r="A33" s="165" t="s">
        <v>111</v>
      </c>
      <c r="B33" s="166">
        <v>0.06833538</v>
      </c>
      <c r="C33" s="166">
        <v>0.02547831</v>
      </c>
      <c r="D33" s="166">
        <v>0.018975</v>
      </c>
      <c r="E33" s="166">
        <v>0.05295056</v>
      </c>
      <c r="F33" s="166">
        <v>0.05016914</v>
      </c>
      <c r="G33" s="166">
        <v>0.04000762</v>
      </c>
    </row>
    <row r="34" spans="1:7" ht="12.75">
      <c r="A34" s="165" t="s">
        <v>113</v>
      </c>
      <c r="B34" s="166">
        <v>0.01086287</v>
      </c>
      <c r="C34" s="166">
        <v>0.01865921</v>
      </c>
      <c r="D34" s="166">
        <v>0.02014708</v>
      </c>
      <c r="E34" s="166">
        <v>0.0218888</v>
      </c>
      <c r="F34" s="166">
        <v>-0.002790657</v>
      </c>
      <c r="G34" s="166">
        <v>0.01580132</v>
      </c>
    </row>
    <row r="35" spans="1:7" ht="12.75">
      <c r="A35" s="165" t="s">
        <v>115</v>
      </c>
      <c r="B35" s="166">
        <v>-0.0004613554</v>
      </c>
      <c r="C35" s="166">
        <v>0.0009203482</v>
      </c>
      <c r="D35" s="166">
        <v>-0.001153657</v>
      </c>
      <c r="E35" s="166">
        <v>0.001758483</v>
      </c>
      <c r="F35" s="166">
        <v>0.004712343</v>
      </c>
      <c r="G35" s="166">
        <v>0.0009314442</v>
      </c>
    </row>
    <row r="36" spans="1:6" ht="12.75">
      <c r="A36" s="165" t="s">
        <v>143</v>
      </c>
      <c r="B36" s="166">
        <v>13.89465</v>
      </c>
      <c r="C36" s="166">
        <v>13.91296</v>
      </c>
      <c r="D36" s="166">
        <v>13.94348</v>
      </c>
      <c r="E36" s="166">
        <v>13.9679</v>
      </c>
      <c r="F36" s="166">
        <v>14.00757</v>
      </c>
    </row>
    <row r="37" spans="1:6" ht="12.75">
      <c r="A37" s="165" t="s">
        <v>144</v>
      </c>
      <c r="B37" s="166">
        <v>0.3311157</v>
      </c>
      <c r="C37" s="166">
        <v>0.3138224</v>
      </c>
      <c r="D37" s="166">
        <v>0.2985636</v>
      </c>
      <c r="E37" s="166">
        <v>0.2924601</v>
      </c>
      <c r="F37" s="166">
        <v>0.2853394</v>
      </c>
    </row>
    <row r="38" spans="1:7" ht="12.75">
      <c r="A38" s="165" t="s">
        <v>145</v>
      </c>
      <c r="B38" s="166">
        <v>9.386023E-05</v>
      </c>
      <c r="C38" s="166">
        <v>0</v>
      </c>
      <c r="D38" s="166">
        <v>-0.0001161654</v>
      </c>
      <c r="E38" s="166">
        <v>-2.163962E-05</v>
      </c>
      <c r="F38" s="166">
        <v>0.0001349964</v>
      </c>
      <c r="G38" s="166">
        <v>0.0001357326</v>
      </c>
    </row>
    <row r="39" spans="1:7" ht="12.75">
      <c r="A39" s="165" t="s">
        <v>146</v>
      </c>
      <c r="B39" s="166">
        <v>0.0001503858</v>
      </c>
      <c r="C39" s="166">
        <v>-0.0001437</v>
      </c>
      <c r="D39" s="166">
        <v>-0.0001812712</v>
      </c>
      <c r="E39" s="166">
        <v>6.674071E-05</v>
      </c>
      <c r="F39" s="166">
        <v>0.0003021348</v>
      </c>
      <c r="G39" s="166">
        <v>0.0004607023</v>
      </c>
    </row>
    <row r="40" spans="2:5" ht="12.75">
      <c r="B40" s="165" t="s">
        <v>147</v>
      </c>
      <c r="C40" s="165">
        <v>-0.003749</v>
      </c>
      <c r="D40" s="165" t="s">
        <v>148</v>
      </c>
      <c r="E40" s="165">
        <v>3.116187</v>
      </c>
    </row>
    <row r="42" ht="12.75">
      <c r="A42" s="165" t="s">
        <v>149</v>
      </c>
    </row>
    <row r="50" spans="1:7" ht="12.75">
      <c r="A50" s="165" t="s">
        <v>150</v>
      </c>
      <c r="B50" s="165">
        <f>-0.017/(B7*B7+B22*B22)*(B21*B22+B6*B7)</f>
        <v>9.386022269046215E-05</v>
      </c>
      <c r="C50" s="165">
        <f>-0.017/(C7*C7+C22*C22)*(C21*C22+C6*C7)</f>
        <v>5.521987983050534E-06</v>
      </c>
      <c r="D50" s="165">
        <f>-0.017/(D7*D7+D22*D22)*(D21*D22+D6*D7)</f>
        <v>-0.00011616537884986462</v>
      </c>
      <c r="E50" s="165">
        <f>-0.017/(E7*E7+E22*E22)*(E21*E22+E6*E7)</f>
        <v>-2.163962566647471E-05</v>
      </c>
      <c r="F50" s="165">
        <f>-0.017/(F7*F7+F22*F22)*(F21*F22+F6*F7)</f>
        <v>0.00013499642099322056</v>
      </c>
      <c r="G50" s="165">
        <f>(B50*B$4+C50*C$4+D50*D$4+E50*E$4+F50*F$4)/SUM(B$4:F$4)</f>
        <v>-2.161618620053346E-07</v>
      </c>
    </row>
    <row r="51" spans="1:7" ht="12.75">
      <c r="A51" s="165" t="s">
        <v>151</v>
      </c>
      <c r="B51" s="165">
        <f>-0.017/(B7*B7+B22*B22)*(B21*B7-B6*B22)</f>
        <v>0.00015038580570333972</v>
      </c>
      <c r="C51" s="165">
        <f>-0.017/(C7*C7+C22*C22)*(C21*C7-C6*C22)</f>
        <v>-0.00014370003504871412</v>
      </c>
      <c r="D51" s="165">
        <f>-0.017/(D7*D7+D22*D22)*(D21*D7-D6*D22)</f>
        <v>-0.00018127108490072802</v>
      </c>
      <c r="E51" s="165">
        <f>-0.017/(E7*E7+E22*E22)*(E21*E7-E6*E22)</f>
        <v>6.674069983167849E-05</v>
      </c>
      <c r="F51" s="165">
        <f>-0.017/(F7*F7+F22*F22)*(F21*F7-F6*F22)</f>
        <v>0.0003021347656353296</v>
      </c>
      <c r="G51" s="165">
        <f>(B51*B$4+C51*C$4+D51*D$4+E51*E$4+F51*F$4)/SUM(B$4:F$4)</f>
        <v>-1.6629692632749413E-08</v>
      </c>
    </row>
    <row r="58" ht="12.75">
      <c r="A58" s="165" t="s">
        <v>153</v>
      </c>
    </row>
    <row r="60" spans="2:6" ht="12.75">
      <c r="B60" s="165" t="s">
        <v>83</v>
      </c>
      <c r="C60" s="165" t="s">
        <v>84</v>
      </c>
      <c r="D60" s="165" t="s">
        <v>85</v>
      </c>
      <c r="E60" s="165" t="s">
        <v>86</v>
      </c>
      <c r="F60" s="165" t="s">
        <v>87</v>
      </c>
    </row>
    <row r="61" spans="1:6" ht="12.75">
      <c r="A61" s="165" t="s">
        <v>155</v>
      </c>
      <c r="B61" s="165">
        <f>B6+(1/0.017)*(B7*B50-B22*B51)</f>
        <v>0</v>
      </c>
      <c r="C61" s="165">
        <f>C6+(1/0.017)*(C7*C50-C22*C51)</f>
        <v>0</v>
      </c>
      <c r="D61" s="165">
        <f>D6+(1/0.017)*(D7*D50-D22*D51)</f>
        <v>0</v>
      </c>
      <c r="E61" s="165">
        <f>E6+(1/0.017)*(E7*E50-E22*E51)</f>
        <v>0</v>
      </c>
      <c r="F61" s="165">
        <f>F6+(1/0.017)*(F7*F50-F22*F51)</f>
        <v>0</v>
      </c>
    </row>
    <row r="62" spans="1:6" ht="12.75">
      <c r="A62" s="165" t="s">
        <v>158</v>
      </c>
      <c r="B62" s="165">
        <f>B7+(2/0.017)*(B8*B50-B23*B51)</f>
        <v>10000.016612439435</v>
      </c>
      <c r="C62" s="165">
        <f>C7+(2/0.017)*(C8*C50-C23*C51)</f>
        <v>9999.977828746087</v>
      </c>
      <c r="D62" s="165">
        <f>D7+(2/0.017)*(D8*D50-D23*D51)</f>
        <v>9999.920549541483</v>
      </c>
      <c r="E62" s="165">
        <f>E7+(2/0.017)*(E8*E50-E23*E51)</f>
        <v>10000.021637516222</v>
      </c>
      <c r="F62" s="165">
        <f>F7+(2/0.017)*(F8*F50-F23*F51)</f>
        <v>9999.80602595326</v>
      </c>
    </row>
    <row r="63" spans="1:6" ht="12.75">
      <c r="A63" s="165" t="s">
        <v>159</v>
      </c>
      <c r="B63" s="165">
        <f>B8+(3/0.017)*(B9*B50-B24*B51)</f>
        <v>1.6908458341742039</v>
      </c>
      <c r="C63" s="165">
        <f>C8+(3/0.017)*(C9*C50-C24*C51)</f>
        <v>0.34710529164343623</v>
      </c>
      <c r="D63" s="165">
        <f>D8+(3/0.017)*(D9*D50-D24*D51)</f>
        <v>1.317862622118128</v>
      </c>
      <c r="E63" s="165">
        <f>E8+(3/0.017)*(E9*E50-E24*E51)</f>
        <v>0.4739095166969358</v>
      </c>
      <c r="F63" s="165">
        <f>F8+(3/0.017)*(F9*F50-F24*F51)</f>
        <v>0.5469368211463222</v>
      </c>
    </row>
    <row r="64" spans="1:6" ht="12.75">
      <c r="A64" s="165" t="s">
        <v>160</v>
      </c>
      <c r="B64" s="165">
        <f>B9+(4/0.017)*(B10*B50-B25*B51)</f>
        <v>1.1379761526913643</v>
      </c>
      <c r="C64" s="165">
        <f>C9+(4/0.017)*(C10*C50-C25*C51)</f>
        <v>0.9422957538194847</v>
      </c>
      <c r="D64" s="165">
        <f>D9+(4/0.017)*(D10*D50-D25*D51)</f>
        <v>0.6034919948790959</v>
      </c>
      <c r="E64" s="165">
        <f>E9+(4/0.017)*(E10*E50-E25*E51)</f>
        <v>0.6149369068438277</v>
      </c>
      <c r="F64" s="165">
        <f>F9+(4/0.017)*(F10*F50-F25*F51)</f>
        <v>-0.4944107086120748</v>
      </c>
    </row>
    <row r="65" spans="1:6" ht="12.75">
      <c r="A65" s="165" t="s">
        <v>161</v>
      </c>
      <c r="B65" s="165">
        <f>B10+(5/0.017)*(B11*B50-B26*B51)</f>
        <v>0.20137426310564255</v>
      </c>
      <c r="C65" s="165">
        <f>C10+(5/0.017)*(C11*C50-C26*C51)</f>
        <v>-0.10864213710454183</v>
      </c>
      <c r="D65" s="165">
        <f>D10+(5/0.017)*(D11*D50-D26*D51)</f>
        <v>-0.34165328118133476</v>
      </c>
      <c r="E65" s="165">
        <f>E10+(5/0.017)*(E11*E50-E26*E51)</f>
        <v>0.24252599821202117</v>
      </c>
      <c r="F65" s="165">
        <f>F10+(5/0.017)*(F11*F50-F26*F51)</f>
        <v>-0.5258659417606234</v>
      </c>
    </row>
    <row r="66" spans="1:6" ht="12.75">
      <c r="A66" s="165" t="s">
        <v>162</v>
      </c>
      <c r="B66" s="165">
        <f>B11+(6/0.017)*(B12*B50-B27*B51)</f>
        <v>4.59784504062556</v>
      </c>
      <c r="C66" s="165">
        <f>C11+(6/0.017)*(C12*C50-C27*C51)</f>
        <v>4.272070555135771</v>
      </c>
      <c r="D66" s="165">
        <f>D11+(6/0.017)*(D12*D50-D27*D51)</f>
        <v>4.44139652297655</v>
      </c>
      <c r="E66" s="165">
        <f>E11+(6/0.017)*(E12*E50-E27*E51)</f>
        <v>3.763629077493368</v>
      </c>
      <c r="F66" s="165">
        <f>F11+(6/0.017)*(F12*F50-F27*F51)</f>
        <v>14.769960264551601</v>
      </c>
    </row>
    <row r="67" spans="1:6" ht="12.75">
      <c r="A67" s="165" t="s">
        <v>163</v>
      </c>
      <c r="B67" s="165">
        <f>B12+(7/0.017)*(B13*B50-B28*B51)</f>
        <v>-0.23468491532818886</v>
      </c>
      <c r="C67" s="165">
        <f>C12+(7/0.017)*(C13*C50-C28*C51)</f>
        <v>0.018067804222347703</v>
      </c>
      <c r="D67" s="165">
        <f>D12+(7/0.017)*(D13*D50-D28*D51)</f>
        <v>0.038766047884476504</v>
      </c>
      <c r="E67" s="165">
        <f>E12+(7/0.017)*(E13*E50-E28*E51)</f>
        <v>0.2669243423502838</v>
      </c>
      <c r="F67" s="165">
        <f>F12+(7/0.017)*(F13*F50-F28*F51)</f>
        <v>-0.4565773836877452</v>
      </c>
    </row>
    <row r="68" spans="1:6" ht="12.75">
      <c r="A68" s="165" t="s">
        <v>164</v>
      </c>
      <c r="B68" s="165">
        <f>B13+(8/0.017)*(B14*B50-B29*B51)</f>
        <v>0.1405659336996233</v>
      </c>
      <c r="C68" s="165">
        <f>C13+(8/0.017)*(C14*C50-C29*C51)</f>
        <v>-0.03901370325770908</v>
      </c>
      <c r="D68" s="165">
        <f>D13+(8/0.017)*(D14*D50-D29*D51)</f>
        <v>0.004528694278981517</v>
      </c>
      <c r="E68" s="165">
        <f>E13+(8/0.017)*(E14*E50-E29*E51)</f>
        <v>0.07811222673099996</v>
      </c>
      <c r="F68" s="165">
        <f>F13+(8/0.017)*(F14*F50-F29*F51)</f>
        <v>-0.0029708669303135926</v>
      </c>
    </row>
    <row r="69" spans="1:6" ht="12.75">
      <c r="A69" s="165" t="s">
        <v>165</v>
      </c>
      <c r="B69" s="165">
        <f>B14+(9/0.017)*(B15*B50-B30*B51)</f>
        <v>0.004506412488714404</v>
      </c>
      <c r="C69" s="165">
        <f>C14+(9/0.017)*(C15*C50-C30*C51)</f>
        <v>0.005877765679419455</v>
      </c>
      <c r="D69" s="165">
        <f>D14+(9/0.017)*(D15*D50-D30*D51)</f>
        <v>0.0697158347498265</v>
      </c>
      <c r="E69" s="165">
        <f>E14+(9/0.017)*(E15*E50-E30*E51)</f>
        <v>0.054873579193240554</v>
      </c>
      <c r="F69" s="165">
        <f>F14+(9/0.017)*(F15*F50-F30*F51)</f>
        <v>0.11647990002065296</v>
      </c>
    </row>
    <row r="70" spans="1:6" ht="12.75">
      <c r="A70" s="165" t="s">
        <v>166</v>
      </c>
      <c r="B70" s="165">
        <f>B15+(10/0.017)*(B16*B50-B31*B51)</f>
        <v>-0.3080134838700548</v>
      </c>
      <c r="C70" s="165">
        <f>C15+(10/0.017)*(C16*C50-C31*C51)</f>
        <v>-0.016277675149311853</v>
      </c>
      <c r="D70" s="165">
        <f>D15+(10/0.017)*(D16*D50-D31*D51)</f>
        <v>0.00843889544794742</v>
      </c>
      <c r="E70" s="165">
        <f>E15+(10/0.017)*(E16*E50-E31*E51)</f>
        <v>-0.06260657188911563</v>
      </c>
      <c r="F70" s="165">
        <f>F15+(10/0.017)*(F16*F50-F31*F51)</f>
        <v>-0.31047925740325244</v>
      </c>
    </row>
    <row r="71" spans="1:6" ht="12.75">
      <c r="A71" s="165" t="s">
        <v>167</v>
      </c>
      <c r="B71" s="165">
        <f>B16+(11/0.017)*(B17*B50-B32*B51)</f>
        <v>-0.03679379655390796</v>
      </c>
      <c r="C71" s="165">
        <f>C16+(11/0.017)*(C17*C50-C32*C51)</f>
        <v>-0.021437659810258095</v>
      </c>
      <c r="D71" s="165">
        <f>D16+(11/0.017)*(D17*D50-D32*D51)</f>
        <v>-0.04465996937227381</v>
      </c>
      <c r="E71" s="165">
        <f>E16+(11/0.017)*(E17*E50-E32*E51)</f>
        <v>0.001791503018233658</v>
      </c>
      <c r="F71" s="165">
        <f>F16+(11/0.017)*(F17*F50-F32*F51)</f>
        <v>-0.06824818805692907</v>
      </c>
    </row>
    <row r="72" spans="1:6" ht="12.75">
      <c r="A72" s="165" t="s">
        <v>168</v>
      </c>
      <c r="B72" s="165">
        <f>B17+(12/0.017)*(B18*B50-B33*B51)</f>
        <v>-0.009950653915649171</v>
      </c>
      <c r="C72" s="165">
        <f>C17+(12/0.017)*(C18*C50-C33*C51)</f>
        <v>0.002110262986665367</v>
      </c>
      <c r="D72" s="165">
        <f>D17+(12/0.017)*(D18*D50-D33*D51)</f>
        <v>-0.003623484209647022</v>
      </c>
      <c r="E72" s="165">
        <f>E17+(12/0.017)*(E18*E50-E33*E51)</f>
        <v>-0.012164061080254997</v>
      </c>
      <c r="F72" s="165">
        <f>F17+(12/0.017)*(F18*F50-F33*F51)</f>
        <v>-0.02649292078129748</v>
      </c>
    </row>
    <row r="73" spans="1:6" ht="12.75">
      <c r="A73" s="165" t="s">
        <v>169</v>
      </c>
      <c r="B73" s="165">
        <f>B18+(13/0.017)*(B19*B50-B34*B51)</f>
        <v>0.023748316471678903</v>
      </c>
      <c r="C73" s="165">
        <f>C18+(13/0.017)*(C19*C50-C34*C51)</f>
        <v>0.015955108515128377</v>
      </c>
      <c r="D73" s="165">
        <f>D18+(13/0.017)*(D19*D50-D34*D51)</f>
        <v>0.024179364004385393</v>
      </c>
      <c r="E73" s="165">
        <f>E18+(13/0.017)*(E19*E50-E34*E51)</f>
        <v>0.00971051184617222</v>
      </c>
      <c r="F73" s="165">
        <f>F18+(13/0.017)*(F19*F50-F34*F51)</f>
        <v>0.013356075342820538</v>
      </c>
    </row>
    <row r="74" spans="1:6" ht="12.75">
      <c r="A74" s="165" t="s">
        <v>170</v>
      </c>
      <c r="B74" s="165">
        <f>B19+(14/0.017)*(B20*B50-B35*B51)</f>
        <v>-0.19727450586637102</v>
      </c>
      <c r="C74" s="165">
        <f>C19+(14/0.017)*(C20*C50-C35*C51)</f>
        <v>-0.1754390285688071</v>
      </c>
      <c r="D74" s="165">
        <f>D19+(14/0.017)*(D20*D50-D35*D51)</f>
        <v>-0.17706432460106183</v>
      </c>
      <c r="E74" s="165">
        <f>E19+(14/0.017)*(E20*E50-E35*E51)</f>
        <v>-0.1694937907809555</v>
      </c>
      <c r="F74" s="165">
        <f>F19+(14/0.017)*(F20*F50-F35*F51)</f>
        <v>-0.1324374010841338</v>
      </c>
    </row>
    <row r="75" spans="1:6" ht="12.75">
      <c r="A75" s="165" t="s">
        <v>171</v>
      </c>
      <c r="B75" s="166">
        <f>B20</f>
        <v>-0.0001364019</v>
      </c>
      <c r="C75" s="166">
        <f>C20</f>
        <v>-0.001878757</v>
      </c>
      <c r="D75" s="166">
        <f>D20</f>
        <v>-0.002292315</v>
      </c>
      <c r="E75" s="166">
        <f>E20</f>
        <v>-0.001378193</v>
      </c>
      <c r="F75" s="166">
        <f>F20</f>
        <v>-0.0001987044</v>
      </c>
    </row>
    <row r="78" ht="12.75">
      <c r="A78" s="165" t="s">
        <v>153</v>
      </c>
    </row>
    <row r="80" spans="2:6" ht="12.75">
      <c r="B80" s="165" t="s">
        <v>83</v>
      </c>
      <c r="C80" s="165" t="s">
        <v>84</v>
      </c>
      <c r="D80" s="165" t="s">
        <v>85</v>
      </c>
      <c r="E80" s="165" t="s">
        <v>86</v>
      </c>
      <c r="F80" s="165" t="s">
        <v>87</v>
      </c>
    </row>
    <row r="81" spans="1:6" ht="12.75">
      <c r="A81" s="165" t="s">
        <v>172</v>
      </c>
      <c r="B81" s="165">
        <f>B21+(1/0.017)*(B7*B51+B22*B50)</f>
        <v>0</v>
      </c>
      <c r="C81" s="165">
        <f>C21+(1/0.017)*(C7*C51+C22*C50)</f>
        <v>0</v>
      </c>
      <c r="D81" s="165">
        <f>D21+(1/0.017)*(D7*D51+D22*D50)</f>
        <v>0</v>
      </c>
      <c r="E81" s="165">
        <f>E21+(1/0.017)*(E7*E51+E22*E50)</f>
        <v>0</v>
      </c>
      <c r="F81" s="165">
        <f>F21+(1/0.017)*(F7*F51+F22*F50)</f>
        <v>0</v>
      </c>
    </row>
    <row r="82" spans="1:6" ht="12.75">
      <c r="A82" s="165" t="s">
        <v>173</v>
      </c>
      <c r="B82" s="165">
        <f>B22+(2/0.017)*(B8*B51+B23*B50)</f>
        <v>73.3670458853009</v>
      </c>
      <c r="C82" s="165">
        <f>C22+(2/0.017)*(C8*C51+C23*C50)</f>
        <v>26.20050358859906</v>
      </c>
      <c r="D82" s="165">
        <f>D22+(2/0.017)*(D8*D51+D23*D50)</f>
        <v>-0.08177692706674985</v>
      </c>
      <c r="E82" s="165">
        <f>E22+(2/0.017)*(E8*E51+E23*E50)</f>
        <v>-38.313721905455886</v>
      </c>
      <c r="F82" s="165">
        <f>F22+(2/0.017)*(F8*F51+F23*F50)</f>
        <v>-56.77007066150889</v>
      </c>
    </row>
    <row r="83" spans="1:6" ht="12.75">
      <c r="A83" s="165" t="s">
        <v>174</v>
      </c>
      <c r="B83" s="165">
        <f>B23+(3/0.017)*(B9*B51+B24*B50)</f>
        <v>0.15590570515534324</v>
      </c>
      <c r="C83" s="165">
        <f>C23+(3/0.017)*(C9*C51+C24*C50)</f>
        <v>-1.3442004383998238</v>
      </c>
      <c r="D83" s="165">
        <f>D23+(3/0.017)*(D9*D51+D24*D50)</f>
        <v>-2.9970530499702357</v>
      </c>
      <c r="E83" s="165">
        <f>E23+(3/0.017)*(E9*E51+E24*E50)</f>
        <v>-2.9232312267105476</v>
      </c>
      <c r="F83" s="165">
        <f>F23+(3/0.017)*(F9*F51+F24*F50)</f>
        <v>5.794079897143711</v>
      </c>
    </row>
    <row r="84" spans="1:6" ht="12.75">
      <c r="A84" s="165" t="s">
        <v>175</v>
      </c>
      <c r="B84" s="165">
        <f>B24+(4/0.017)*(B10*B51+B25*B50)</f>
        <v>0.6420787574236236</v>
      </c>
      <c r="C84" s="165">
        <f>C24+(4/0.017)*(C10*C51+C25*C50)</f>
        <v>2.303376988989717</v>
      </c>
      <c r="D84" s="165">
        <f>D24+(4/0.017)*(D10*D51+D25*D50)</f>
        <v>2.57071589427827</v>
      </c>
      <c r="E84" s="165">
        <f>E24+(4/0.017)*(E10*E51+E25*E50)</f>
        <v>2.6533579321427787</v>
      </c>
      <c r="F84" s="165">
        <f>F24+(4/0.017)*(F10*F51+F25*F50)</f>
        <v>2.3632006007514255</v>
      </c>
    </row>
    <row r="85" spans="1:6" ht="12.75">
      <c r="A85" s="165" t="s">
        <v>176</v>
      </c>
      <c r="B85" s="165">
        <f>B25+(5/0.017)*(B11*B51+B26*B50)</f>
        <v>0.1585248237318006</v>
      </c>
      <c r="C85" s="165">
        <f>C25+(5/0.017)*(C11*C51+C26*C50)</f>
        <v>-0.20830441872307262</v>
      </c>
      <c r="D85" s="165">
        <f>D25+(5/0.017)*(D11*D51+D26*D50)</f>
        <v>-0.7770290037650831</v>
      </c>
      <c r="E85" s="165">
        <f>E25+(5/0.017)*(E11*E51+E26*E50)</f>
        <v>-0.8298548709648939</v>
      </c>
      <c r="F85" s="165">
        <f>F25+(5/0.017)*(F11*F51+F26*F50)</f>
        <v>-0.7644427393265869</v>
      </c>
    </row>
    <row r="86" spans="1:6" ht="12.75">
      <c r="A86" s="165" t="s">
        <v>177</v>
      </c>
      <c r="B86" s="165">
        <f>B26+(6/0.017)*(B12*B51+B27*B50)</f>
        <v>0.6887479894905044</v>
      </c>
      <c r="C86" s="165">
        <f>C26+(6/0.017)*(C12*C51+C27*C50)</f>
        <v>0.8068775841234931</v>
      </c>
      <c r="D86" s="165">
        <f>D26+(6/0.017)*(D12*D51+D27*D50)</f>
        <v>0.9649917695329271</v>
      </c>
      <c r="E86" s="165">
        <f>E26+(6/0.017)*(E12*E51+E27*E50)</f>
        <v>0.397397992658134</v>
      </c>
      <c r="F86" s="165">
        <f>F26+(6/0.017)*(F12*F51+F27*F50)</f>
        <v>2.075362145682364</v>
      </c>
    </row>
    <row r="87" spans="1:6" ht="12.75">
      <c r="A87" s="165" t="s">
        <v>178</v>
      </c>
      <c r="B87" s="165">
        <f>B27+(7/0.017)*(B13*B51+B28*B50)</f>
        <v>-0.029782065653487906</v>
      </c>
      <c r="C87" s="165">
        <f>C27+(7/0.017)*(C13*C51+C28*C50)</f>
        <v>-0.1365542011621081</v>
      </c>
      <c r="D87" s="165">
        <f>D27+(7/0.017)*(D13*D51+D28*D50)</f>
        <v>-0.20795360723066572</v>
      </c>
      <c r="E87" s="165">
        <f>E27+(7/0.017)*(E13*E51+E28*E50)</f>
        <v>-0.22990740480202354</v>
      </c>
      <c r="F87" s="165">
        <f>F27+(7/0.017)*(F13*F51+F28*F50)</f>
        <v>0.3515272140130759</v>
      </c>
    </row>
    <row r="88" spans="1:6" ht="12.75">
      <c r="A88" s="165" t="s">
        <v>179</v>
      </c>
      <c r="B88" s="165">
        <f>B28+(8/0.017)*(B14*B51+B29*B50)</f>
        <v>0.05375655836437003</v>
      </c>
      <c r="C88" s="165">
        <f>C28+(8/0.017)*(C14*C51+C29*C50)</f>
        <v>0.18262046496455456</v>
      </c>
      <c r="D88" s="165">
        <f>D28+(8/0.017)*(D14*D51+D29*D50)</f>
        <v>0.19934351670034633</v>
      </c>
      <c r="E88" s="165">
        <f>E28+(8/0.017)*(E14*E51+E29*E50)</f>
        <v>0.21946897766950807</v>
      </c>
      <c r="F88" s="165">
        <f>F28+(8/0.017)*(F14*F51+F29*F50)</f>
        <v>0.1742254896047143</v>
      </c>
    </row>
    <row r="89" spans="1:6" ht="12.75">
      <c r="A89" s="165" t="s">
        <v>180</v>
      </c>
      <c r="B89" s="165">
        <f>B29+(9/0.017)*(B15*B51+B30*B50)</f>
        <v>0.043040433024368836</v>
      </c>
      <c r="C89" s="165">
        <f>C29+(9/0.017)*(C15*C51+C30*C50)</f>
        <v>0.061026324544219135</v>
      </c>
      <c r="D89" s="165">
        <f>D29+(9/0.017)*(D15*D51+D30*D50)</f>
        <v>0.03258550283506405</v>
      </c>
      <c r="E89" s="165">
        <f>E29+(9/0.017)*(E15*E51+E30*E50)</f>
        <v>0.06421818769222867</v>
      </c>
      <c r="F89" s="165">
        <f>F29+(9/0.017)*(F15*F51+F30*F50)</f>
        <v>-0.002911128383715815</v>
      </c>
    </row>
    <row r="90" spans="1:6" ht="12.75">
      <c r="A90" s="165" t="s">
        <v>181</v>
      </c>
      <c r="B90" s="165">
        <f>B30+(10/0.017)*(B16*B51+B31*B50)</f>
        <v>0.13050545596600902</v>
      </c>
      <c r="C90" s="165">
        <f>C30+(10/0.017)*(C16*C51+C31*C50)</f>
        <v>0.11708652073531574</v>
      </c>
      <c r="D90" s="165">
        <f>D30+(10/0.017)*(D16*D51+D31*D50)</f>
        <v>0.08517376646158957</v>
      </c>
      <c r="E90" s="165">
        <f>E30+(10/0.017)*(E16*E51+E31*E50)</f>
        <v>0.05287541742170634</v>
      </c>
      <c r="F90" s="165">
        <f>F30+(10/0.017)*(F16*F51+F31*F50)</f>
        <v>0.3440495101992473</v>
      </c>
    </row>
    <row r="91" spans="1:6" ht="12.75">
      <c r="A91" s="165" t="s">
        <v>182</v>
      </c>
      <c r="B91" s="165">
        <f>B31+(11/0.017)*(B17*B51+B32*B50)</f>
        <v>0.008747299191372744</v>
      </c>
      <c r="C91" s="165">
        <f>C31+(11/0.017)*(C17*C51+C32*C50)</f>
        <v>0.018965658436805716</v>
      </c>
      <c r="D91" s="165">
        <f>D31+(11/0.017)*(D17*D51+D32*D50)</f>
        <v>0.019267853143857365</v>
      </c>
      <c r="E91" s="165">
        <f>E31+(11/0.017)*(E17*E51+E32*E50)</f>
        <v>0.02405027259337531</v>
      </c>
      <c r="F91" s="165">
        <f>F31+(11/0.017)*(F17*F51+F32*F50)</f>
        <v>0.01965532386911764</v>
      </c>
    </row>
    <row r="92" spans="1:6" ht="12.75">
      <c r="A92" s="165" t="s">
        <v>183</v>
      </c>
      <c r="B92" s="165">
        <f>B32+(12/0.017)*(B18*B51+B33*B50)</f>
        <v>0.008952717643666999</v>
      </c>
      <c r="C92" s="165">
        <f>C32+(12/0.017)*(C18*C51+C33*C50)</f>
        <v>0.007268436659289945</v>
      </c>
      <c r="D92" s="165">
        <f>D32+(12/0.017)*(D18*D51+D33*D50)</f>
        <v>0.009913673914775531</v>
      </c>
      <c r="E92" s="165">
        <f>E32+(12/0.017)*(E18*E51+E33*E50)</f>
        <v>0.010827611188231154</v>
      </c>
      <c r="F92" s="165">
        <f>F32+(12/0.017)*(F18*F51+F33*F50)</f>
        <v>0.009001296257644053</v>
      </c>
    </row>
    <row r="93" spans="1:6" ht="12.75">
      <c r="A93" s="165" t="s">
        <v>184</v>
      </c>
      <c r="B93" s="165">
        <f>B33+(13/0.017)*(B19*B51+B34*B50)</f>
        <v>0.04642296142878515</v>
      </c>
      <c r="C93" s="165">
        <f>C33+(13/0.017)*(C19*C51+C34*C50)</f>
        <v>0.04484682177974736</v>
      </c>
      <c r="D93" s="165">
        <f>D33+(13/0.017)*(D19*D51+D34*D50)</f>
        <v>0.04173630422292868</v>
      </c>
      <c r="E93" s="165">
        <f>E33+(13/0.017)*(E19*E51+E34*E50)</f>
        <v>0.043941568975382754</v>
      </c>
      <c r="F93" s="165">
        <f>F33+(13/0.017)*(F19*F51+F34*F50)</f>
        <v>0.01955816133852509</v>
      </c>
    </row>
    <row r="94" spans="1:6" ht="12.75">
      <c r="A94" s="165" t="s">
        <v>185</v>
      </c>
      <c r="B94" s="165">
        <f>B34+(14/0.017)*(B20*B51+B35*B50)</f>
        <v>0.010810315786882248</v>
      </c>
      <c r="C94" s="165">
        <f>C34+(14/0.017)*(C20*C51+C35*C50)</f>
        <v>0.018885729669310642</v>
      </c>
      <c r="D94" s="165">
        <f>D34+(14/0.017)*(D20*D51+D35*D50)</f>
        <v>0.020599646824254598</v>
      </c>
      <c r="E94" s="165">
        <f>E34+(14/0.017)*(E20*E51+E35*E50)</f>
        <v>0.021781712781848487</v>
      </c>
      <c r="F94" s="165">
        <f>F34+(14/0.017)*(F20*F51+F35*F50)</f>
        <v>-0.0023162102323324436</v>
      </c>
    </row>
    <row r="95" spans="1:6" ht="12.75">
      <c r="A95" s="165" t="s">
        <v>186</v>
      </c>
      <c r="B95" s="166">
        <f>B35</f>
        <v>-0.0004613554</v>
      </c>
      <c r="C95" s="166">
        <f>C35</f>
        <v>0.0009203482</v>
      </c>
      <c r="D95" s="166">
        <f>D35</f>
        <v>-0.001153657</v>
      </c>
      <c r="E95" s="166">
        <f>E35</f>
        <v>0.001758483</v>
      </c>
      <c r="F95" s="166">
        <f>F35</f>
        <v>0.004712343</v>
      </c>
    </row>
    <row r="98" ht="12.75">
      <c r="A98" s="165" t="s">
        <v>154</v>
      </c>
    </row>
    <row r="100" spans="2:11" ht="12.75">
      <c r="B100" s="165" t="s">
        <v>83</v>
      </c>
      <c r="C100" s="165" t="s">
        <v>84</v>
      </c>
      <c r="D100" s="165" t="s">
        <v>85</v>
      </c>
      <c r="E100" s="165" t="s">
        <v>86</v>
      </c>
      <c r="F100" s="165" t="s">
        <v>87</v>
      </c>
      <c r="G100" s="165" t="s">
        <v>156</v>
      </c>
      <c r="H100" s="165" t="s">
        <v>157</v>
      </c>
      <c r="I100" s="165" t="s">
        <v>152</v>
      </c>
      <c r="K100" s="165" t="s">
        <v>187</v>
      </c>
    </row>
    <row r="101" spans="1:9" ht="12.75">
      <c r="A101" s="165" t="s">
        <v>155</v>
      </c>
      <c r="B101" s="165">
        <f>B61*10000/B62</f>
        <v>0</v>
      </c>
      <c r="C101" s="165">
        <f>C61*10000/C62</f>
        <v>0</v>
      </c>
      <c r="D101" s="165">
        <f>D61*10000/D62</f>
        <v>0</v>
      </c>
      <c r="E101" s="165">
        <f>E61*10000/E62</f>
        <v>0</v>
      </c>
      <c r="F101" s="165">
        <f>F61*10000/F62</f>
        <v>0</v>
      </c>
      <c r="G101" s="165">
        <f>AVERAGE(C101:E101)</f>
        <v>0</v>
      </c>
      <c r="H101" s="165">
        <f>STDEV(C101:E101)</f>
        <v>0</v>
      </c>
      <c r="I101" s="165">
        <f>(B101*B4+C101*C4+D101*D4+E101*E4+F101*F4)/SUM(B4:F4)</f>
        <v>0</v>
      </c>
    </row>
    <row r="102" spans="1:9" ht="12.75">
      <c r="A102" s="165" t="s">
        <v>158</v>
      </c>
      <c r="B102" s="165">
        <f>B62*10000/B62</f>
        <v>10000</v>
      </c>
      <c r="C102" s="165">
        <f>C62*10000/C62</f>
        <v>10000</v>
      </c>
      <c r="D102" s="165">
        <f>D62*10000/D62</f>
        <v>10000</v>
      </c>
      <c r="E102" s="165">
        <f>E62*10000/E62</f>
        <v>10000</v>
      </c>
      <c r="F102" s="165">
        <f>F62*10000/F62</f>
        <v>10000</v>
      </c>
      <c r="G102" s="165">
        <f>AVERAGE(C102:E102)</f>
        <v>10000</v>
      </c>
      <c r="H102" s="165">
        <f>STDEV(C102:E102)</f>
        <v>0</v>
      </c>
      <c r="I102" s="165">
        <f>(B102*B4+C102*C4+D102*D4+E102*E4+F102*F4)/SUM(B4:F4)</f>
        <v>10000.000000000002</v>
      </c>
    </row>
    <row r="103" spans="1:11" ht="12.75">
      <c r="A103" s="165" t="s">
        <v>159</v>
      </c>
      <c r="B103" s="165">
        <f>B63*10000/B62</f>
        <v>1.690843025271469</v>
      </c>
      <c r="C103" s="165">
        <f>C63*10000/C62</f>
        <v>0.34710606122109805</v>
      </c>
      <c r="D103" s="165">
        <f>D63*10000/D62</f>
        <v>1.317873092680276</v>
      </c>
      <c r="E103" s="165">
        <f>E63*10000/E62</f>
        <v>0.4739084912766691</v>
      </c>
      <c r="F103" s="165">
        <f>F63*10000/F62</f>
        <v>0.5469474305069673</v>
      </c>
      <c r="G103" s="165">
        <f>AVERAGE(C103:E103)</f>
        <v>0.712962548392681</v>
      </c>
      <c r="H103" s="165">
        <f>STDEV(C103:E103)</f>
        <v>0.5276905238960952</v>
      </c>
      <c r="I103" s="165">
        <f>(B103*B4+C103*C4+D103*D4+E103*E4+F103*F4)/SUM(B4:F4)</f>
        <v>0.8316424665965867</v>
      </c>
      <c r="K103" s="165">
        <f>(LN(H103)+LN(H123))/2-LN(K114*K115^3)</f>
        <v>-4.232474232924906</v>
      </c>
    </row>
    <row r="104" spans="1:11" ht="12.75">
      <c r="A104" s="165" t="s">
        <v>160</v>
      </c>
      <c r="B104" s="165">
        <f>B64*10000/B62</f>
        <v>1.1379742622385134</v>
      </c>
      <c r="C104" s="165">
        <f>C64*10000/C62</f>
        <v>0.9422978430119586</v>
      </c>
      <c r="D104" s="165">
        <f>D64*10000/D62</f>
        <v>0.6034967896887614</v>
      </c>
      <c r="E104" s="165">
        <f>E64*10000/E62</f>
        <v>0.6149355762759771</v>
      </c>
      <c r="F104" s="165">
        <f>F64*10000/F62</f>
        <v>-0.4944202990826952</v>
      </c>
      <c r="G104" s="165">
        <f>AVERAGE(C104:E104)</f>
        <v>0.7202434029922324</v>
      </c>
      <c r="H104" s="165">
        <f>STDEV(C104:E104)</f>
        <v>0.19238981836106248</v>
      </c>
      <c r="I104" s="165">
        <f>(B104*B4+C104*C4+D104*D4+E104*E4+F104*F4)/SUM(B4:F4)</f>
        <v>0.6178684874430256</v>
      </c>
      <c r="K104" s="165">
        <f>(LN(H104)+LN(H124))/2-LN(K114*K115^4)</f>
        <v>-4.960676354301874</v>
      </c>
    </row>
    <row r="105" spans="1:11" ht="12.75">
      <c r="A105" s="165" t="s">
        <v>161</v>
      </c>
      <c r="B105" s="165">
        <f>B65*10000/B62</f>
        <v>0.20137392857442335</v>
      </c>
      <c r="C105" s="165">
        <f>C65*10000/C62</f>
        <v>-0.10864237797831662</v>
      </c>
      <c r="D105" s="165">
        <f>D65*10000/D62</f>
        <v>-0.34165599565388577</v>
      </c>
      <c r="E105" s="165">
        <f>E65*10000/E62</f>
        <v>0.24252547344713457</v>
      </c>
      <c r="F105" s="165">
        <f>F65*10000/F62</f>
        <v>-0.5258761423929659</v>
      </c>
      <c r="G105" s="165">
        <f>AVERAGE(C105:E105)</f>
        <v>-0.0692576333950226</v>
      </c>
      <c r="H105" s="165">
        <f>STDEV(C105:E105)</f>
        <v>0.2940754423437548</v>
      </c>
      <c r="I105" s="165">
        <f>(B105*B4+C105*C4+D105*D4+E105*E4+F105*F4)/SUM(B4:F4)</f>
        <v>-0.0913890844393826</v>
      </c>
      <c r="K105" s="165">
        <f>(LN(H105)+LN(H125))/2-LN(K114*K115^5)</f>
        <v>-3.8405448142564054</v>
      </c>
    </row>
    <row r="106" spans="1:11" ht="12.75">
      <c r="A106" s="165" t="s">
        <v>162</v>
      </c>
      <c r="B106" s="165">
        <f>B66*10000/B62</f>
        <v>4.5978374024960225</v>
      </c>
      <c r="C106" s="165">
        <f>C66*10000/C62</f>
        <v>4.272080026872873</v>
      </c>
      <c r="D106" s="165">
        <f>D66*10000/D62</f>
        <v>4.441431810355931</v>
      </c>
      <c r="E106" s="165">
        <f>E66*10000/E62</f>
        <v>3.763620933952467</v>
      </c>
      <c r="F106" s="165">
        <f>F66*10000/F62</f>
        <v>14.770246769005317</v>
      </c>
      <c r="G106" s="165">
        <f>AVERAGE(C106:E106)</f>
        <v>4.159044257060423</v>
      </c>
      <c r="H106" s="165">
        <f>STDEV(C106:E106)</f>
        <v>0.3527601309466916</v>
      </c>
      <c r="I106" s="165">
        <f>(B106*B4+C106*C4+D106*D4+E106*E4+F106*F4)/SUM(B4:F4)</f>
        <v>5.643147020516027</v>
      </c>
      <c r="K106" s="165">
        <f>(LN(H106)+LN(H126))/2-LN(K114*K115^6)</f>
        <v>-3.2395051877316927</v>
      </c>
    </row>
    <row r="107" spans="1:11" ht="12.75">
      <c r="A107" s="165" t="s">
        <v>163</v>
      </c>
      <c r="B107" s="165">
        <f>B67*10000/B62</f>
        <v>-0.2346845254599423</v>
      </c>
      <c r="C107" s="165">
        <f>C67*10000/C62</f>
        <v>0.018067844281024027</v>
      </c>
      <c r="D107" s="165">
        <f>D67*10000/D62</f>
        <v>0.03876635588495152</v>
      </c>
      <c r="E107" s="165">
        <f>E67*10000/E62</f>
        <v>0.2669237647935547</v>
      </c>
      <c r="F107" s="165">
        <f>F67*10000/F62</f>
        <v>-0.4565862402758164</v>
      </c>
      <c r="G107" s="165">
        <f>AVERAGE(C107:E107)</f>
        <v>0.10791932165317675</v>
      </c>
      <c r="H107" s="165">
        <f>STDEV(C107:E107)</f>
        <v>0.13809024874856562</v>
      </c>
      <c r="I107" s="165">
        <f>(B107*B4+C107*C4+D107*D4+E107*E4+F107*F4)/SUM(B4:F4)</f>
        <v>-0.01707691669537334</v>
      </c>
      <c r="K107" s="165">
        <f>(LN(H107)+LN(H127))/2-LN(K114*K115^7)</f>
        <v>-4.013130955113891</v>
      </c>
    </row>
    <row r="108" spans="1:9" ht="12.75">
      <c r="A108" s="165" t="s">
        <v>164</v>
      </c>
      <c r="B108" s="165">
        <f>B68*10000/B62</f>
        <v>0.14056570018570522</v>
      </c>
      <c r="C108" s="165">
        <f>C68*10000/C62</f>
        <v>-0.03901378975617296</v>
      </c>
      <c r="D108" s="165">
        <f>D68*10000/D62</f>
        <v>0.004528730259951082</v>
      </c>
      <c r="E108" s="165">
        <f>E68*10000/E62</f>
        <v>0.07811205771590837</v>
      </c>
      <c r="F108" s="165">
        <f>F68*10000/F62</f>
        <v>-0.002970924558539511</v>
      </c>
      <c r="G108" s="165">
        <f>AVERAGE(C108:E108)</f>
        <v>0.014542332739895499</v>
      </c>
      <c r="H108" s="165">
        <f>STDEV(C108:E108)</f>
        <v>0.05920152204532479</v>
      </c>
      <c r="I108" s="165">
        <f>(B108*B4+C108*C4+D108*D4+E108*E4+F108*F4)/SUM(B4:F4)</f>
        <v>0.030355617301886965</v>
      </c>
    </row>
    <row r="109" spans="1:9" ht="12.75">
      <c r="A109" s="165" t="s">
        <v>165</v>
      </c>
      <c r="B109" s="165">
        <f>B69*10000/B62</f>
        <v>0.004506405002476386</v>
      </c>
      <c r="C109" s="165">
        <f>C69*10000/C62</f>
        <v>0.00587777871119188</v>
      </c>
      <c r="D109" s="165">
        <f>D69*10000/D62</f>
        <v>0.06971638864973094</v>
      </c>
      <c r="E109" s="165">
        <f>E69*10000/E62</f>
        <v>0.05487346046070146</v>
      </c>
      <c r="F109" s="165">
        <f>F69*10000/F62</f>
        <v>0.11648215947223756</v>
      </c>
      <c r="G109" s="165">
        <f>AVERAGE(C109:E109)</f>
        <v>0.043489209273874764</v>
      </c>
      <c r="H109" s="165">
        <f>STDEV(C109:E109)</f>
        <v>0.03340722842492037</v>
      </c>
      <c r="I109" s="165">
        <f>(B109*B4+C109*C4+D109*D4+E109*E4+F109*F4)/SUM(B4:F4)</f>
        <v>0.04763550116863925</v>
      </c>
    </row>
    <row r="110" spans="1:11" ht="12.75">
      <c r="A110" s="165" t="s">
        <v>166</v>
      </c>
      <c r="B110" s="165">
        <f>B70*10000/B62</f>
        <v>-0.3080129721853702</v>
      </c>
      <c r="C110" s="165">
        <f>C70*10000/C62</f>
        <v>-0.016277711239038754</v>
      </c>
      <c r="D110" s="165">
        <f>D70*10000/D62</f>
        <v>0.008438962495891392</v>
      </c>
      <c r="E110" s="165">
        <f>E70*10000/E62</f>
        <v>-0.06260643642433726</v>
      </c>
      <c r="F110" s="165">
        <f>F70*10000/F62</f>
        <v>-0.3104852800118742</v>
      </c>
      <c r="G110" s="165">
        <f>AVERAGE(C110:E110)</f>
        <v>-0.023481728389161544</v>
      </c>
      <c r="H110" s="165">
        <f>STDEV(C110:E110)</f>
        <v>0.03606640506424301</v>
      </c>
      <c r="I110" s="165">
        <f>(B110*B4+C110*C4+D110*D4+E110*E4+F110*F4)/SUM(B4:F4)</f>
        <v>-0.10293002225910268</v>
      </c>
      <c r="K110" s="165">
        <f>EXP(AVERAGE(K103:K107))</f>
        <v>0.017296237116286327</v>
      </c>
    </row>
    <row r="111" spans="1:9" ht="12.75">
      <c r="A111" s="165" t="s">
        <v>167</v>
      </c>
      <c r="B111" s="165">
        <f>B71*10000/B62</f>
        <v>-0.036793735430537815</v>
      </c>
      <c r="C111" s="165">
        <f>C71*10000/C62</f>
        <v>-0.021437707340343372</v>
      </c>
      <c r="D111" s="165">
        <f>D71*10000/D62</f>
        <v>-0.04466032420059734</v>
      </c>
      <c r="E111" s="165">
        <f>E71*10000/E62</f>
        <v>0.0017914991418744835</v>
      </c>
      <c r="F111" s="165">
        <f>F71*10000/F62</f>
        <v>-0.0682495119203306</v>
      </c>
      <c r="G111" s="165">
        <f>AVERAGE(C111:E111)</f>
        <v>-0.02143551079968874</v>
      </c>
      <c r="H111" s="165">
        <f>STDEV(C111:E111)</f>
        <v>0.023225911749135828</v>
      </c>
      <c r="I111" s="165">
        <f>(B111*B4+C111*C4+D111*D4+E111*E4+F111*F4)/SUM(B4:F4)</f>
        <v>-0.029917992695071498</v>
      </c>
    </row>
    <row r="112" spans="1:9" ht="12.75">
      <c r="A112" s="165" t="s">
        <v>168</v>
      </c>
      <c r="B112" s="165">
        <f>B72*10000/B62</f>
        <v>-0.009950637385213082</v>
      </c>
      <c r="C112" s="165">
        <f>C72*10000/C62</f>
        <v>0.0021102676653933904</v>
      </c>
      <c r="D112" s="165">
        <f>D72*10000/D62</f>
        <v>-0.0036235129986239407</v>
      </c>
      <c r="E112" s="165">
        <f>E72*10000/E62</f>
        <v>-0.012164034760305052</v>
      </c>
      <c r="F112" s="165">
        <f>F72*10000/F62</f>
        <v>-0.026493434685171277</v>
      </c>
      <c r="G112" s="165">
        <f>AVERAGE(C112:E112)</f>
        <v>-0.004559093364511868</v>
      </c>
      <c r="H112" s="165">
        <f>STDEV(C112:E112)</f>
        <v>0.007182994528805612</v>
      </c>
      <c r="I112" s="165">
        <f>(B112*B4+C112*C4+D112*D4+E112*E4+F112*F4)/SUM(B4:F4)</f>
        <v>-0.008272068252649794</v>
      </c>
    </row>
    <row r="113" spans="1:9" ht="12.75">
      <c r="A113" s="165" t="s">
        <v>169</v>
      </c>
      <c r="B113" s="165">
        <f>B73*10000/B62</f>
        <v>0.023748277019997537</v>
      </c>
      <c r="C113" s="165">
        <f>C73*10000/C62</f>
        <v>0.015955143889683016</v>
      </c>
      <c r="D113" s="165">
        <f>D73*10000/D62</f>
        <v>0.024179556112067378</v>
      </c>
      <c r="E113" s="165">
        <f>E73*10000/E62</f>
        <v>0.009710490835081924</v>
      </c>
      <c r="F113" s="165">
        <f>F73*10000/F62</f>
        <v>0.013356334421044265</v>
      </c>
      <c r="G113" s="165">
        <f>AVERAGE(C113:E113)</f>
        <v>0.01661506361227744</v>
      </c>
      <c r="H113" s="165">
        <f>STDEV(C113:E113)</f>
        <v>0.00725707124311305</v>
      </c>
      <c r="I113" s="165">
        <f>(B113*B4+C113*C4+D113*D4+E113*E4+F113*F4)/SUM(B4:F4)</f>
        <v>0.01720698276380573</v>
      </c>
    </row>
    <row r="114" spans="1:11" ht="12.75">
      <c r="A114" s="165" t="s">
        <v>170</v>
      </c>
      <c r="B114" s="165">
        <f>B74*10000/B62</f>
        <v>-0.19727417814583736</v>
      </c>
      <c r="C114" s="165">
        <f>C74*10000/C62</f>
        <v>-0.17543941753999437</v>
      </c>
      <c r="D114" s="165">
        <f>D74*10000/D62</f>
        <v>-0.17706573139641657</v>
      </c>
      <c r="E114" s="165">
        <f>E74*10000/E62</f>
        <v>-0.1694934240392843</v>
      </c>
      <c r="F114" s="165">
        <f>F74*10000/F62</f>
        <v>-0.13243997007582836</v>
      </c>
      <c r="G114" s="165">
        <f>AVERAGE(C114:E114)</f>
        <v>-0.17399952432523177</v>
      </c>
      <c r="H114" s="165">
        <f>STDEV(C114:E114)</f>
        <v>0.0039862173837055676</v>
      </c>
      <c r="I114" s="165">
        <f>(B114*B4+C114*C4+D114*D4+E114*E4+F114*F4)/SUM(B4:F4)</f>
        <v>-0.1717905225919029</v>
      </c>
      <c r="J114" s="165" t="s">
        <v>188</v>
      </c>
      <c r="K114" s="165">
        <v>285</v>
      </c>
    </row>
    <row r="115" spans="1:11" ht="12.75">
      <c r="A115" s="165" t="s">
        <v>171</v>
      </c>
      <c r="B115" s="165">
        <f>B75*10000/B62</f>
        <v>-0.0001364016734035462</v>
      </c>
      <c r="C115" s="165">
        <f>C75*10000/C62</f>
        <v>-0.001878761165449084</v>
      </c>
      <c r="D115" s="165">
        <f>D75*10000/D62</f>
        <v>-0.0022923332126924822</v>
      </c>
      <c r="E115" s="165">
        <f>E75*10000/E62</f>
        <v>-0.001378190017939113</v>
      </c>
      <c r="F115" s="165">
        <f>F75*10000/F62</f>
        <v>-0.00019870825442442312</v>
      </c>
      <c r="G115" s="165">
        <f>AVERAGE(C115:E115)</f>
        <v>-0.0018497614653602262</v>
      </c>
      <c r="H115" s="165">
        <f>STDEV(C115:E115)</f>
        <v>0.00045776105347922284</v>
      </c>
      <c r="I115" s="165">
        <f>(B115*B4+C115*C4+D115*D4+E115*E4+F115*F4)/SUM(B4:F4)</f>
        <v>-0.0013816816083959463</v>
      </c>
      <c r="J115" s="165" t="s">
        <v>189</v>
      </c>
      <c r="K115" s="165">
        <v>0.5536</v>
      </c>
    </row>
    <row r="118" ht="12.75">
      <c r="A118" s="165" t="s">
        <v>154</v>
      </c>
    </row>
    <row r="120" spans="2:9" ht="12.75">
      <c r="B120" s="165" t="s">
        <v>83</v>
      </c>
      <c r="C120" s="165" t="s">
        <v>84</v>
      </c>
      <c r="D120" s="165" t="s">
        <v>85</v>
      </c>
      <c r="E120" s="165" t="s">
        <v>86</v>
      </c>
      <c r="F120" s="165" t="s">
        <v>87</v>
      </c>
      <c r="G120" s="165" t="s">
        <v>156</v>
      </c>
      <c r="H120" s="165" t="s">
        <v>157</v>
      </c>
      <c r="I120" s="165" t="s">
        <v>152</v>
      </c>
    </row>
    <row r="121" spans="1:9" ht="12.75">
      <c r="A121" s="165" t="s">
        <v>172</v>
      </c>
      <c r="B121" s="165">
        <f>B81*10000/B62</f>
        <v>0</v>
      </c>
      <c r="C121" s="165">
        <f>C81*10000/C62</f>
        <v>0</v>
      </c>
      <c r="D121" s="165">
        <f>D81*10000/D62</f>
        <v>0</v>
      </c>
      <c r="E121" s="165">
        <f>E81*10000/E62</f>
        <v>0</v>
      </c>
      <c r="F121" s="165">
        <f>F81*10000/F62</f>
        <v>0</v>
      </c>
      <c r="G121" s="165">
        <f>AVERAGE(C121:E121)</f>
        <v>0</v>
      </c>
      <c r="H121" s="165">
        <f>STDEV(C121:E121)</f>
        <v>0</v>
      </c>
      <c r="I121" s="165">
        <f>(B121*B4+C121*C4+D121*D4+E121*E4+F121*F4)/SUM(B4:F4)</f>
        <v>0</v>
      </c>
    </row>
    <row r="122" spans="1:9" ht="12.75">
      <c r="A122" s="165" t="s">
        <v>173</v>
      </c>
      <c r="B122" s="165">
        <f>B82*10000/B62</f>
        <v>73.36692400494275</v>
      </c>
      <c r="C122" s="165">
        <f>C82*10000/C62</f>
        <v>26.200561678529624</v>
      </c>
      <c r="D122" s="165">
        <f>D82*10000/D62</f>
        <v>-0.08177757679334711</v>
      </c>
      <c r="E122" s="165">
        <f>E82*10000/E62</f>
        <v>-38.31363900425734</v>
      </c>
      <c r="F122" s="165">
        <f>F82*10000/F62</f>
        <v>-56.771171874903565</v>
      </c>
      <c r="G122" s="165">
        <f>AVERAGE(C122:E122)</f>
        <v>-4.0649516341736875</v>
      </c>
      <c r="H122" s="165">
        <f>STDEV(C122:E122)</f>
        <v>32.441020007288124</v>
      </c>
      <c r="I122" s="165">
        <f>(B122*B4+C122*C4+D122*D4+E122*E4+F122*F4)/SUM(B4:F4)</f>
        <v>0.046840766059384545</v>
      </c>
    </row>
    <row r="123" spans="1:9" ht="12.75">
      <c r="A123" s="165" t="s">
        <v>174</v>
      </c>
      <c r="B123" s="165">
        <f>B83*10000/B62</f>
        <v>0.15590544615836507</v>
      </c>
      <c r="C123" s="165">
        <f>C83*10000/C62</f>
        <v>-1.3442034186673546</v>
      </c>
      <c r="D123" s="165">
        <f>D83*10000/D62</f>
        <v>-2.9970768618833246</v>
      </c>
      <c r="E123" s="165">
        <f>E83*10000/E62</f>
        <v>-2.923224901577925</v>
      </c>
      <c r="F123" s="165">
        <f>F83*10000/F62</f>
        <v>5.7941922894363085</v>
      </c>
      <c r="G123" s="165">
        <f>AVERAGE(C123:E123)</f>
        <v>-2.421501727376201</v>
      </c>
      <c r="H123" s="165">
        <f>STDEV(C123:E123)</f>
        <v>0.9336981645427203</v>
      </c>
      <c r="I123" s="165">
        <f>(B123*B4+C123*C4+D123*D4+E123*E4+F123*F4)/SUM(B4:F4)</f>
        <v>-0.9496469147594956</v>
      </c>
    </row>
    <row r="124" spans="1:9" ht="12.75">
      <c r="A124" s="165" t="s">
        <v>175</v>
      </c>
      <c r="B124" s="165">
        <f>B84*10000/B62</f>
        <v>0.6420776907759487</v>
      </c>
      <c r="C124" s="165">
        <f>C84*10000/C62</f>
        <v>2.3033820958766476</v>
      </c>
      <c r="D124" s="165">
        <f>D84*10000/D62</f>
        <v>2.5707363188961962</v>
      </c>
      <c r="E124" s="165">
        <f>E84*10000/E62</f>
        <v>2.6533521909476714</v>
      </c>
      <c r="F124" s="165">
        <f>F84*10000/F62</f>
        <v>2.3632464415989975</v>
      </c>
      <c r="G124" s="165">
        <f>AVERAGE(C124:E124)</f>
        <v>2.509156868573505</v>
      </c>
      <c r="H124" s="165">
        <f>STDEV(C124:E124)</f>
        <v>0.18293110284350572</v>
      </c>
      <c r="I124" s="165">
        <f>(B124*B4+C124*C4+D124*D4+E124*E4+F124*F4)/SUM(B4:F4)</f>
        <v>2.220406222940267</v>
      </c>
    </row>
    <row r="125" spans="1:9" ht="12.75">
      <c r="A125" s="165" t="s">
        <v>176</v>
      </c>
      <c r="B125" s="165">
        <f>B85*10000/B62</f>
        <v>0.15852456038383478</v>
      </c>
      <c r="C125" s="165">
        <f>C85*10000/C62</f>
        <v>-0.20830488056111243</v>
      </c>
      <c r="D125" s="165">
        <f>D85*10000/D62</f>
        <v>-0.7770351773451956</v>
      </c>
      <c r="E125" s="165">
        <f>E85*10000/E62</f>
        <v>-0.8298530753689558</v>
      </c>
      <c r="F125" s="165">
        <f>F85*10000/F62</f>
        <v>-0.764457567819386</v>
      </c>
      <c r="G125" s="165">
        <f>AVERAGE(C125:E125)</f>
        <v>-0.6050643777584213</v>
      </c>
      <c r="H125" s="165">
        <f>STDEV(C125:E125)</f>
        <v>0.3446171884136193</v>
      </c>
      <c r="I125" s="165">
        <f>(B125*B4+C125*C4+D125*D4+E125*E4+F125*F4)/SUM(B4:F4)</f>
        <v>-0.5162450158550946</v>
      </c>
    </row>
    <row r="126" spans="1:9" ht="12.75">
      <c r="A126" s="165" t="s">
        <v>177</v>
      </c>
      <c r="B126" s="165">
        <f>B86*10000/B62</f>
        <v>0.6887468453139791</v>
      </c>
      <c r="C126" s="165">
        <f>C86*10000/C62</f>
        <v>0.8068793730762389</v>
      </c>
      <c r="D126" s="165">
        <f>D86*10000/D62</f>
        <v>0.964999436497697</v>
      </c>
      <c r="E126" s="165">
        <f>E86*10000/E62</f>
        <v>0.39739713278944333</v>
      </c>
      <c r="F126" s="165">
        <f>F86*10000/F62</f>
        <v>2.075402403102639</v>
      </c>
      <c r="G126" s="165">
        <f>AVERAGE(C126:E126)</f>
        <v>0.723091980787793</v>
      </c>
      <c r="H126" s="165">
        <f>STDEV(C126:E126)</f>
        <v>0.29293060462096265</v>
      </c>
      <c r="I126" s="165">
        <f>(B126*B4+C126*C4+D126*D4+E126*E4+F126*F4)/SUM(B4:F4)</f>
        <v>0.8992285575161741</v>
      </c>
    </row>
    <row r="127" spans="1:9" ht="12.75">
      <c r="A127" s="165" t="s">
        <v>178</v>
      </c>
      <c r="B127" s="165">
        <f>B87*10000/B62</f>
        <v>-0.029782016178293905</v>
      </c>
      <c r="C127" s="165">
        <f>C87*10000/C62</f>
        <v>-0.13655450392056603</v>
      </c>
      <c r="D127" s="165">
        <f>D87*10000/D62</f>
        <v>-0.20795525944473714</v>
      </c>
      <c r="E127" s="165">
        <f>E87*10000/E62</f>
        <v>-0.22990690734057984</v>
      </c>
      <c r="F127" s="165">
        <f>F87*10000/F62</f>
        <v>0.351534032860968</v>
      </c>
      <c r="G127" s="165">
        <f>AVERAGE(C127:E127)</f>
        <v>-0.19147222356862767</v>
      </c>
      <c r="H127" s="165">
        <f>STDEV(C127:E127)</f>
        <v>0.0488102003667583</v>
      </c>
      <c r="I127" s="165">
        <f>(B127*B4+C127*C4+D127*D4+E127*E4+F127*F4)/SUM(B4:F4)</f>
        <v>-0.09544346627549137</v>
      </c>
    </row>
    <row r="128" spans="1:9" ht="12.75">
      <c r="A128" s="165" t="s">
        <v>179</v>
      </c>
      <c r="B128" s="165">
        <f>B88*10000/B62</f>
        <v>0.053756469061761375</v>
      </c>
      <c r="C128" s="165">
        <f>C88*10000/C62</f>
        <v>0.18262086985792209</v>
      </c>
      <c r="D128" s="165">
        <f>D88*10000/D62</f>
        <v>0.19934510050631019</v>
      </c>
      <c r="E128" s="165">
        <f>E88*10000/E62</f>
        <v>0.21946850279417912</v>
      </c>
      <c r="F128" s="165">
        <f>F88*10000/F62</f>
        <v>0.17422886919259592</v>
      </c>
      <c r="G128" s="165">
        <f>AVERAGE(C128:E128)</f>
        <v>0.20047815771947045</v>
      </c>
      <c r="H128" s="165">
        <f>STDEV(C128:E128)</f>
        <v>0.018449928922288646</v>
      </c>
      <c r="I128" s="165">
        <f>(B128*B4+C128*C4+D128*D4+E128*E4+F128*F4)/SUM(B4:F4)</f>
        <v>0.17580735083482707</v>
      </c>
    </row>
    <row r="129" spans="1:9" ht="12.75">
      <c r="A129" s="165" t="s">
        <v>180</v>
      </c>
      <c r="B129" s="165">
        <f>B89*10000/B62</f>
        <v>0.04304036152382893</v>
      </c>
      <c r="C129" s="165">
        <f>C89*10000/C62</f>
        <v>0.0610264598475328</v>
      </c>
      <c r="D129" s="165">
        <f>D89*10000/D62</f>
        <v>0.032585761730435106</v>
      </c>
      <c r="E129" s="165">
        <f>E89*10000/E62</f>
        <v>0.06421804874032154</v>
      </c>
      <c r="F129" s="165">
        <f>F89*10000/F62</f>
        <v>-0.0029111848531464925</v>
      </c>
      <c r="G129" s="165">
        <f>AVERAGE(C129:E129)</f>
        <v>0.052610090106096484</v>
      </c>
      <c r="H129" s="165">
        <f>STDEV(C129:E129)</f>
        <v>0.017414845824393076</v>
      </c>
      <c r="I129" s="165">
        <f>(B129*B4+C129*C4+D129*D4+E129*E4+F129*F4)/SUM(B4:F4)</f>
        <v>0.04379785948464906</v>
      </c>
    </row>
    <row r="130" spans="1:9" ht="12.75">
      <c r="A130" s="165" t="s">
        <v>181</v>
      </c>
      <c r="B130" s="165">
        <f>B90*10000/B62</f>
        <v>0.13050523916497087</v>
      </c>
      <c r="C130" s="165">
        <f>C90*10000/C62</f>
        <v>0.11708678033138939</v>
      </c>
      <c r="D130" s="165">
        <f>D90*10000/D62</f>
        <v>0.085174443176446</v>
      </c>
      <c r="E130" s="165">
        <f>E90*10000/E62</f>
        <v>0.052875303012683665</v>
      </c>
      <c r="F130" s="165">
        <f>F90*10000/F62</f>
        <v>0.34405618399627885</v>
      </c>
      <c r="G130" s="165">
        <f>AVERAGE(C130:E130)</f>
        <v>0.08504550884017302</v>
      </c>
      <c r="H130" s="165">
        <f>STDEV(C130:E130)</f>
        <v>0.03210593283039708</v>
      </c>
      <c r="I130" s="165">
        <f>(B130*B4+C130*C4+D130*D4+E130*E4+F130*F4)/SUM(B4:F4)</f>
        <v>0.12628659918612634</v>
      </c>
    </row>
    <row r="131" spans="1:9" ht="12.75">
      <c r="A131" s="165" t="s">
        <v>182</v>
      </c>
      <c r="B131" s="165">
        <f>B91*10000/B62</f>
        <v>0.00874728465999908</v>
      </c>
      <c r="C131" s="165">
        <f>C91*10000/C62</f>
        <v>0.01896570048614183</v>
      </c>
      <c r="D131" s="165">
        <f>D91*10000/D62</f>
        <v>0.019268006229050328</v>
      </c>
      <c r="E131" s="165">
        <f>E91*10000/E62</f>
        <v>0.024050220554671573</v>
      </c>
      <c r="F131" s="165">
        <f>F91*10000/F62</f>
        <v>0.019655705138784372</v>
      </c>
      <c r="G131" s="165">
        <f>AVERAGE(C131:E131)</f>
        <v>0.020761309089954577</v>
      </c>
      <c r="H131" s="165">
        <f>STDEV(C131:E131)</f>
        <v>0.0028522887577538433</v>
      </c>
      <c r="I131" s="165">
        <f>(B131*B4+C131*C4+D131*D4+E131*E4+F131*F4)/SUM(B4:F4)</f>
        <v>0.018880881877833613</v>
      </c>
    </row>
    <row r="132" spans="1:9" ht="12.75">
      <c r="A132" s="165" t="s">
        <v>183</v>
      </c>
      <c r="B132" s="165">
        <f>B92*10000/B62</f>
        <v>0.008952702771043743</v>
      </c>
      <c r="C132" s="165">
        <f>C92*10000/C62</f>
        <v>0.007268452774361147</v>
      </c>
      <c r="D132" s="165">
        <f>D92*10000/D62</f>
        <v>0.009913752679995136</v>
      </c>
      <c r="E132" s="165">
        <f>E92*10000/E62</f>
        <v>0.010827587760020574</v>
      </c>
      <c r="F132" s="165">
        <f>F92*10000/F62</f>
        <v>0.009001470862817041</v>
      </c>
      <c r="G132" s="165">
        <f>AVERAGE(C132:E132)</f>
        <v>0.00933659773812562</v>
      </c>
      <c r="H132" s="165">
        <f>STDEV(C132:E132)</f>
        <v>0.0018484294229776613</v>
      </c>
      <c r="I132" s="165">
        <f>(B132*B4+C132*C4+D132*D4+E132*E4+F132*F4)/SUM(B4:F4)</f>
        <v>0.009235981062289502</v>
      </c>
    </row>
    <row r="133" spans="1:9" ht="12.75">
      <c r="A133" s="165" t="s">
        <v>184</v>
      </c>
      <c r="B133" s="165">
        <f>B93*10000/B62</f>
        <v>0.046422884309049756</v>
      </c>
      <c r="C133" s="165">
        <f>C93*10000/C62</f>
        <v>0.0448469212109951</v>
      </c>
      <c r="D133" s="165">
        <f>D93*10000/D62</f>
        <v>0.04173663582241398</v>
      </c>
      <c r="E133" s="165">
        <f>E93*10000/E62</f>
        <v>0.04394147389694733</v>
      </c>
      <c r="F133" s="165">
        <f>F93*10000/F62</f>
        <v>0.019558540723454337</v>
      </c>
      <c r="G133" s="165">
        <f>AVERAGE(C133:E133)</f>
        <v>0.04350834364345214</v>
      </c>
      <c r="H133" s="165">
        <f>STDEV(C133:E133)</f>
        <v>0.001599740654598381</v>
      </c>
      <c r="I133" s="165">
        <f>(B133*B4+C133*C4+D133*D4+E133*E4+F133*F4)/SUM(B4:F4)</f>
        <v>0.04072195075408309</v>
      </c>
    </row>
    <row r="134" spans="1:9" ht="12.75">
      <c r="A134" s="165" t="s">
        <v>185</v>
      </c>
      <c r="B134" s="165">
        <f>B94*10000/B62</f>
        <v>0.010810297828340453</v>
      </c>
      <c r="C134" s="165">
        <f>C94*10000/C62</f>
        <v>0.01888577154143426</v>
      </c>
      <c r="D134" s="165">
        <f>D94*10000/D62</f>
        <v>0.020599810490693482</v>
      </c>
      <c r="E134" s="165">
        <f>E94*10000/E62</f>
        <v>0.0217816656517341</v>
      </c>
      <c r="F134" s="165">
        <f>F94*10000/F62</f>
        <v>-0.0023162551616711428</v>
      </c>
      <c r="G134" s="165">
        <f>AVERAGE(C134:E134)</f>
        <v>0.020422415894620613</v>
      </c>
      <c r="H134" s="165">
        <f>STDEV(C134:E134)</f>
        <v>0.001456074279202229</v>
      </c>
      <c r="I134" s="165">
        <f>(B134*B4+C134*C4+D134*D4+E134*E4+F134*F4)/SUM(B4:F4)</f>
        <v>0.01599168895878716</v>
      </c>
    </row>
    <row r="135" spans="1:9" ht="12.75">
      <c r="A135" s="165" t="s">
        <v>186</v>
      </c>
      <c r="B135" s="165">
        <f>B95*10000/B62</f>
        <v>-0.00046135463357740926</v>
      </c>
      <c r="C135" s="165">
        <f>C95*10000/C62</f>
        <v>0.0009203502405318873</v>
      </c>
      <c r="D135" s="165">
        <f>D95*10000/D62</f>
        <v>-0.001153666165930586</v>
      </c>
      <c r="E135" s="165">
        <f>E95*10000/E62</f>
        <v>0.001758479195087789</v>
      </c>
      <c r="F135" s="165">
        <f>F95*10000/F62</f>
        <v>0.004712434408997231</v>
      </c>
      <c r="G135" s="165">
        <f>AVERAGE(C135:E135)</f>
        <v>0.0005083877565630301</v>
      </c>
      <c r="H135" s="165">
        <f>STDEV(C135:E135)</f>
        <v>0.0014991439113952849</v>
      </c>
      <c r="I135" s="165">
        <f>(B135*B4+C135*C4+D135*D4+E135*E4+F135*F4)/SUM(B4:F4)</f>
        <v>0.0009315751110899077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2003-12-08T07:16:28Z</cp:lastPrinted>
  <dcterms:created xsi:type="dcterms:W3CDTF">1999-06-17T15:15:05Z</dcterms:created>
  <dcterms:modified xsi:type="dcterms:W3CDTF">2005-10-05T15:07:26Z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1421584721</vt:i4>
  </property>
  <property fmtid="{D5CDD505-2E9C-101B-9397-08002B2CF9AE}" pid="3" name="_EmailSubject">
    <vt:lpwstr>WFM result of aperture 54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  <property fmtid="{D5CDD505-2E9C-101B-9397-08002B2CF9AE}" pid="6" name="_ReviewingToolsShownOnce">
    <vt:lpwstr/>
  </property>
</Properties>
</file>