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45_pos1ap2" sheetId="2" r:id="rId2"/>
    <sheet name="HCMQAP145_pos2ap2" sheetId="3" r:id="rId3"/>
    <sheet name="HCMQAP145_pos3ap2" sheetId="4" r:id="rId4"/>
    <sheet name="HCMQAP145_pos4ap2" sheetId="5" r:id="rId5"/>
    <sheet name="HCMQAP145_pos5ap2" sheetId="6" r:id="rId6"/>
    <sheet name="Lmag_hcmqap" sheetId="7" r:id="rId7"/>
    <sheet name="Result_HCMQAP" sheetId="8" r:id="rId8"/>
  </sheets>
  <definedNames>
    <definedName name="_xlnm.Print_Area" localSheetId="1">'HCMQAP145_pos1ap2'!$A$1:$N$28</definedName>
    <definedName name="_xlnm.Print_Area" localSheetId="2">'HCMQAP145_pos2ap2'!$A$1:$N$28</definedName>
    <definedName name="_xlnm.Print_Area" localSheetId="3">'HCMQAP145_pos3ap2'!$A$1:$N$28</definedName>
    <definedName name="_xlnm.Print_Area" localSheetId="4">'HCMQAP145_pos4ap2'!$A$1:$N$28</definedName>
    <definedName name="_xlnm.Print_Area" localSheetId="5">'HCMQAP145_pos5ap2'!$A$1:$N$28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<sst xmlns="http://schemas.openxmlformats.org/spreadsheetml/2006/main" count="505" uniqueCount="188">
  <si>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</si>
  <si>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</si>
  <si>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</si>
  <si>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</si>
  <si>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</si>
  <si>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</si>
  <si>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</si>
  <si>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</si>
  <si>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</si>
  <si>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</si>
  <si>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</si>
  <si>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</si>
  <si>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</si>
  <si>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</si>
  <si>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</si>
  <si>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hcmqap145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</si>
  <si>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</si>
  <si>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</si>
  <si>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</si>
  <si>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</si>
  <si>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</si>
  <si>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</si>
  <si>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</si>
  <si>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</si>
  <si>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</si>
  <si>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</si>
  <si>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</si>
  <si>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</si>
  <si>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</si>
  <si>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</si>
  <si>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</si>
  <si>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</si>
  <si>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</si>
  <si>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</si>
  <si>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</si>
  <si>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</si>
  <si>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</si>
  <si>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</si>
  <si>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</si>
  <si>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</si>
  <si>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</si>
  <si>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</si>
  <si>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</si>
  <si>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</si>
  <si>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</si>
  <si>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</si>
  <si>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</si>
  <si>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</si>
  <si>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</si>
  <si>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</si>
  <si>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</si>
  <si>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</si>
  <si>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</si>
  <si>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</si>
  <si>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</si>
  <si>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</si>
  <si>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</si>
  <si>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</si>
  <si>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</si>
  <si>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-2.255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</si>
  <si>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</si>
  <si>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</si>
  <si>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</si>
  <si>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</si>
  <si>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</si>
  <si>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</si>
  <si>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</si>
  <si>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</si>
  <si>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HCMQAP145_pos1ap2</t>
  </si>
  <si>
    <t>±12.5</t>
  </si>
  <si>
    <t>THCMQAP145_pos1ap2.xls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</si>
  <si>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-3.754 mT)</t>
    </r>
  </si>
  <si>
    <t>HCMQAP145_pos2ap2</t>
  </si>
  <si>
    <t>THCMQAP145_pos2ap2.xls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</si>
  <si>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-3.753 mT)</t>
    </r>
  </si>
  <si>
    <t>HCMQAP145_pos3ap2</t>
  </si>
  <si>
    <t>THCMQAP145_pos3ap2.xls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</si>
  <si>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-3.755 mT)</t>
    </r>
  </si>
  <si>
    <t>HCMQAP145_pos4ap2</t>
  </si>
  <si>
    <t>THCMQAP145_pos4ap2.xls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</si>
  <si>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-2.083 mT)</t>
    </r>
  </si>
  <si>
    <t>HCMQAP145_pos5ap2</t>
  </si>
  <si>
    <t>THCMQAP145_pos5ap2.xls</t>
  </si>
  <si>
    <t>Sommaire : Valeurs intégrales calculées avec les fichiers: HCMQAP145_pos1ap2+HCMQAP145_pos2ap2+HCMQAP145_pos3ap2+HCMQAP145_pos4ap2+HCMQAP145_pos5ap2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</si>
  <si>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</si>
  <si>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</si>
  <si>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</si>
  <si>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</si>
  <si>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</si>
  <si>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</si>
  <si>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</si>
  <si>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</si>
  <si>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</si>
  <si>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</si>
  <si>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</si>
  <si>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</si>
  <si>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</si>
  <si>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</si>
  <si>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</si>
  <si>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</si>
  <si>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</si>
  <si>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</si>
  <si>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</si>
  <si>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</si>
  <si>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</si>
  <si>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</si>
  <si>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</si>
  <si>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</si>
  <si>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</si>
  <si>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</si>
  <si>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</si>
  <si>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</si>
  <si>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</si>
  <si>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</si>
  <si>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</si>
  <si>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</si>
  <si>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</si>
  <si>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</si>
  <si>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</si>
  <si>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</si>
  <si>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</si>
  <si>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</si>
  <si>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</si>
  <si>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</si>
  <si>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</si>
  <si>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</si>
  <si>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</si>
  <si>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=-3.754</t>
    </r>
  </si>
  <si>
    <t>Gradient (T/m)</t>
  </si>
  <si>
    <t xml:space="preserve"> Mon 08/12/2003       10:14:16</t>
  </si>
  <si>
    <t>LISSNER</t>
  </si>
  <si>
    <t>HCMQAP145</t>
  </si>
  <si>
    <t>Aperture2</t>
  </si>
  <si>
    <t>Position</t>
  </si>
  <si>
    <t>Integrales</t>
  </si>
  <si>
    <t>Cn (T)</t>
  </si>
  <si>
    <t>Angle (Horiz,Cn)</t>
  </si>
  <si>
    <t>b1</t>
  </si>
  <si>
    <t>b2</t>
  </si>
  <si>
    <t>a1</t>
  </si>
  <si>
    <t>a2</t>
  </si>
  <si>
    <t>Temp taupe (deg)</t>
  </si>
  <si>
    <t>Niv init (mrad)</t>
  </si>
  <si>
    <t>Dx moy (mm)</t>
  </si>
  <si>
    <t>Dy moy (mm)</t>
  </si>
  <si>
    <t>C2 centre (T)</t>
  </si>
  <si>
    <t>Long. Mag. (m)</t>
  </si>
  <si>
    <t>* = Integral error  ! = Central error           Conclusion : ACCEPTED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</si>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</sst>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3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5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3" fontId="5" fillId="4" borderId="15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5" fillId="4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0" fillId="0" borderId="66" xfId="0" applyNumberFormat="1" applyFont="1" applyBorder="1" applyAlignment="1">
      <alignment horizontal="center"/>
    </xf>
    <xf numFmtId="179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45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6210150"/>
        <c:axId val="59020439"/>
      </c:lineChart>
      <c:catAx>
        <c:axId val="662101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9020439"/>
        <c:crosses val="autoZero"/>
        <c:auto val="1"/>
        <c:lblOffset val="100"/>
        <c:noMultiLvlLbl val="0"/>
      </c:catAx>
      <c:valAx>
        <c:axId val="59020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621015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37845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2787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37845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2787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37845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2787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37845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78</v>
      </c>
      <c r="H5" s="25">
        <v>2787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>
        <v>37845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81</v>
      </c>
      <c r="H6" s="25">
        <v>2787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8.122864E-06</v>
      </c>
      <c r="L2" s="55">
        <v>1.6150408503814513E-07</v>
      </c>
      <c r="M2" s="55">
        <v>7.3386302E-05</v>
      </c>
      <c r="N2" s="56">
        <v>1.904373036089963E-07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-3.1598808E-05</v>
      </c>
      <c r="L3" s="55">
        <v>1.2304568621464678E-07</v>
      </c>
      <c r="M3" s="55">
        <v>1.4708824000000001E-05</v>
      </c>
      <c r="N3" s="56">
        <v>4.82869915606143E-08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-0.0022547054417076597</v>
      </c>
      <c r="L4" s="55">
        <v>-1.7976145812663964E-05</v>
      </c>
      <c r="M4" s="55">
        <v>8.973984101385614E-08</v>
      </c>
      <c r="N4" s="56">
        <v>3.9862779</v>
      </c>
    </row>
    <row r="5" spans="1:14" ht="15" customHeight="1" thickBot="1">
      <c r="A5" t="s">
        <v>18</v>
      </c>
      <c r="B5" s="59">
        <v>37963.4050462963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2787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-1.0583109</v>
      </c>
      <c r="E8" s="78">
        <v>0.023964305352749227</v>
      </c>
      <c r="F8" s="78">
        <v>2.7276525</v>
      </c>
      <c r="G8" s="78">
        <v>0.024885759309286333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-0.050501639999999993</v>
      </c>
      <c r="E9" s="80">
        <v>0.04840794337381418</v>
      </c>
      <c r="F9" s="80">
        <v>2.1107391</v>
      </c>
      <c r="G9" s="80">
        <v>0.017812012627446156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-0.08850108999999999</v>
      </c>
      <c r="E10" s="80">
        <v>0.012937949783771805</v>
      </c>
      <c r="F10" s="80">
        <v>-0.34807636999999997</v>
      </c>
      <c r="G10" s="80">
        <v>0.005198551760307301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3.7776295000000006</v>
      </c>
      <c r="E11" s="78">
        <v>0.006198564349748033</v>
      </c>
      <c r="F11" s="78">
        <v>0.7710816</v>
      </c>
      <c r="G11" s="78">
        <v>0.01107652972351774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0.075974473</v>
      </c>
      <c r="E12" s="80">
        <v>0.007707384613067301</v>
      </c>
      <c r="F12" s="80">
        <v>0.39912524000000005</v>
      </c>
      <c r="G12" s="80">
        <v>0.009861395352806257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16.760254</v>
      </c>
      <c r="D13" s="83">
        <v>-0.030011682</v>
      </c>
      <c r="E13" s="80">
        <v>0.010196715376211399</v>
      </c>
      <c r="F13" s="80">
        <v>0.30200327000000005</v>
      </c>
      <c r="G13" s="80">
        <v>0.009470154113560402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-0.127830639</v>
      </c>
      <c r="E14" s="80">
        <v>0.006491874213758</v>
      </c>
      <c r="F14" s="80">
        <v>-0.013270425999999998</v>
      </c>
      <c r="G14" s="80">
        <v>0.005103666969065867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-0.37247091</v>
      </c>
      <c r="E15" s="78">
        <v>0.005861624769755979</v>
      </c>
      <c r="F15" s="78">
        <v>0.09750266999999999</v>
      </c>
      <c r="G15" s="78">
        <v>0.0033521679605953577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12.5135</v>
      </c>
      <c r="D16" s="83">
        <v>0.053127698999999994</v>
      </c>
      <c r="E16" s="80">
        <v>0.00179196105741011</v>
      </c>
      <c r="F16" s="80">
        <v>0.0060662104</v>
      </c>
      <c r="G16" s="80">
        <v>0.0017653723428100205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-0.23899999260902405</v>
      </c>
      <c r="D17" s="83">
        <v>-0.006004849000000001</v>
      </c>
      <c r="E17" s="80">
        <v>0.0036023863551296127</v>
      </c>
      <c r="F17" s="80">
        <v>0.024292763000000002</v>
      </c>
      <c r="G17" s="80">
        <v>0.0016528837048008123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19.836000442504883</v>
      </c>
      <c r="D18" s="83">
        <v>-0.00340080211</v>
      </c>
      <c r="E18" s="80">
        <v>0.0011110963572111548</v>
      </c>
      <c r="F18" s="80">
        <v>0.05952457</v>
      </c>
      <c r="G18" s="80">
        <v>0.0019394078413089357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-0.3569999933242798</v>
      </c>
      <c r="D19" s="86">
        <v>-0.18857582</v>
      </c>
      <c r="E19" s="80">
        <v>0.001179267989303312</v>
      </c>
      <c r="F19" s="80">
        <v>0.014385605700000002</v>
      </c>
      <c r="G19" s="80">
        <v>0.0020310463995689347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0.05683629999999999</v>
      </c>
      <c r="D20" s="88">
        <v>0.004053530519999999</v>
      </c>
      <c r="E20" s="89">
        <v>0.0009741858816347816</v>
      </c>
      <c r="F20" s="89">
        <v>-0.00406673222</v>
      </c>
      <c r="G20" s="89">
        <v>0.0014890120160336825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0.5537657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0.22839709255504378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-2.2547771</v>
      </c>
      <c r="I25" s="101" t="s">
        <v>49</v>
      </c>
      <c r="J25" s="102"/>
      <c r="K25" s="101"/>
      <c r="L25" s="104">
        <v>3.8555222049845352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2.925766587035791</v>
      </c>
      <c r="I26" s="106" t="s">
        <v>53</v>
      </c>
      <c r="J26" s="107"/>
      <c r="K26" s="106"/>
      <c r="L26" s="109">
        <v>0.3850212324708301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HCMQAP145_pos1ap2res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1.6504782E-05</v>
      </c>
      <c r="L2" s="55">
        <v>1.1901760947866857E-07</v>
      </c>
      <c r="M2" s="55">
        <v>0.000103919394</v>
      </c>
      <c r="N2" s="56">
        <v>2.901852108803098E-07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-2.8929762E-05</v>
      </c>
      <c r="L3" s="55">
        <v>1.6189571670027823E-07</v>
      </c>
      <c r="M3" s="55">
        <v>1.3521006000000001E-05</v>
      </c>
      <c r="N3" s="56">
        <v>2.69716845995913E-07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-0.0037534783277855628</v>
      </c>
      <c r="L4" s="55">
        <v>-4.4389598204242704E-05</v>
      </c>
      <c r="M4" s="55">
        <v>2.454909599933891E-08</v>
      </c>
      <c r="N4" s="56">
        <v>5.9128527</v>
      </c>
    </row>
    <row r="5" spans="1:14" ht="15" customHeight="1" thickBot="1">
      <c r="A5" t="s">
        <v>18</v>
      </c>
      <c r="B5" s="59">
        <v>37963.409583333334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2787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0.90052349</v>
      </c>
      <c r="E8" s="78">
        <v>0.005310112239546046</v>
      </c>
      <c r="F8" s="78">
        <v>-1.2621129</v>
      </c>
      <c r="G8" s="78">
        <v>0.007927190747022368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0.58938278</v>
      </c>
      <c r="E9" s="80">
        <v>0.01352418097137701</v>
      </c>
      <c r="F9" s="80">
        <v>-1.00565155</v>
      </c>
      <c r="G9" s="80">
        <v>0.010805832739218696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0.51641986</v>
      </c>
      <c r="E10" s="80">
        <v>0.008179470129013046</v>
      </c>
      <c r="F10" s="80">
        <v>-0.57364683</v>
      </c>
      <c r="G10" s="80">
        <v>0.006452243255836376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3.1466390000000004</v>
      </c>
      <c r="E11" s="78">
        <v>0.00740756047538161</v>
      </c>
      <c r="F11" s="78">
        <v>0.11466851400000003</v>
      </c>
      <c r="G11" s="78">
        <v>0.0028756676762087836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0.22105590999999997</v>
      </c>
      <c r="E12" s="80">
        <v>0.004148017938293578</v>
      </c>
      <c r="F12" s="80">
        <v>0.30232629</v>
      </c>
      <c r="G12" s="80">
        <v>0.006095744312995529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16.461182</v>
      </c>
      <c r="D13" s="83">
        <v>0.139768737</v>
      </c>
      <c r="E13" s="80">
        <v>0.0023431467268848357</v>
      </c>
      <c r="F13" s="80">
        <v>-0.2582726</v>
      </c>
      <c r="G13" s="80">
        <v>0.004051241136739026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0.032026780000000005</v>
      </c>
      <c r="E14" s="80">
        <v>0.0050975480891914905</v>
      </c>
      <c r="F14" s="80">
        <v>0.0397497432</v>
      </c>
      <c r="G14" s="80">
        <v>0.0030370471382534896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-0.079105602</v>
      </c>
      <c r="E15" s="78">
        <v>0.0014220632156645972</v>
      </c>
      <c r="F15" s="78">
        <v>0.071236986</v>
      </c>
      <c r="G15" s="78">
        <v>0.002524729376327797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12.513900000000001</v>
      </c>
      <c r="D16" s="83">
        <v>0.0065378526990000005</v>
      </c>
      <c r="E16" s="80">
        <v>0.0009145734070974201</v>
      </c>
      <c r="F16" s="80">
        <v>0.03235695100000001</v>
      </c>
      <c r="G16" s="80">
        <v>0.0018795084099503168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0.460999995470047</v>
      </c>
      <c r="D17" s="83">
        <v>-0.015321631000000002</v>
      </c>
      <c r="E17" s="80">
        <v>0.0014621420122559743</v>
      </c>
      <c r="F17" s="80">
        <v>-0.02502548611</v>
      </c>
      <c r="G17" s="80">
        <v>0.0012251562764635942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-1.0169999599456787</v>
      </c>
      <c r="D18" s="83">
        <v>0.00539952123</v>
      </c>
      <c r="E18" s="80">
        <v>0.0014650082348736278</v>
      </c>
      <c r="F18" s="80">
        <v>0.054841676000000006</v>
      </c>
      <c r="G18" s="80">
        <v>0.0007445009927685472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0.33399999141693115</v>
      </c>
      <c r="D19" s="86">
        <v>-0.16772202</v>
      </c>
      <c r="E19" s="80">
        <v>0.0011589288488071815</v>
      </c>
      <c r="F19" s="80">
        <v>0.018461217999999998</v>
      </c>
      <c r="G19" s="80">
        <v>0.0003159173546768448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0.06917499999999999</v>
      </c>
      <c r="D20" s="88">
        <v>-0.00167691064</v>
      </c>
      <c r="E20" s="89">
        <v>0.0007234670998276791</v>
      </c>
      <c r="F20" s="89">
        <v>-0.0023626702</v>
      </c>
      <c r="G20" s="89">
        <v>0.0006990587108351918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0.4714785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0.3387817907492703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-3.7537408</v>
      </c>
      <c r="I25" s="101" t="s">
        <v>49</v>
      </c>
      <c r="J25" s="102"/>
      <c r="K25" s="101"/>
      <c r="L25" s="104">
        <v>3.1487276580269645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1.5504423653874368</v>
      </c>
      <c r="I26" s="106" t="s">
        <v>53</v>
      </c>
      <c r="J26" s="107"/>
      <c r="K26" s="106"/>
      <c r="L26" s="109">
        <v>0.106453766688392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HCMQAP145_pos2ap2res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3.67762755E-05</v>
      </c>
      <c r="L2" s="55">
        <v>2.1219520602190184E-07</v>
      </c>
      <c r="M2" s="55">
        <v>9.0637822E-05</v>
      </c>
      <c r="N2" s="56">
        <v>3.108152913487691E-07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-2.7969944499999996E-05</v>
      </c>
      <c r="L3" s="55">
        <v>8.980265344048421E-08</v>
      </c>
      <c r="M3" s="55">
        <v>1.1268377999999999E-05</v>
      </c>
      <c r="N3" s="56">
        <v>1.5466104789507088E-07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-0.0037530025577489023</v>
      </c>
      <c r="L4" s="55">
        <v>-4.260666217338399E-05</v>
      </c>
      <c r="M4" s="55">
        <v>3.5776275159687774E-08</v>
      </c>
      <c r="N4" s="56">
        <v>5.6760995</v>
      </c>
    </row>
    <row r="5" spans="1:14" ht="15" customHeight="1" thickBot="1">
      <c r="A5" t="s">
        <v>18</v>
      </c>
      <c r="B5" s="59">
        <v>37963.414039351854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2787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-1.2881464</v>
      </c>
      <c r="E8" s="78">
        <v>0.014091998592813442</v>
      </c>
      <c r="F8" s="78">
        <v>-1.8122152</v>
      </c>
      <c r="G8" s="78">
        <v>0.006102448521729618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0.06393761</v>
      </c>
      <c r="E9" s="80">
        <v>0.007976866097309078</v>
      </c>
      <c r="F9" s="80">
        <v>-0.3044851</v>
      </c>
      <c r="G9" s="80">
        <v>0.016318977366092037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0.55508083</v>
      </c>
      <c r="E10" s="80">
        <v>0.008206462702811517</v>
      </c>
      <c r="F10" s="80">
        <v>-0.80478591</v>
      </c>
      <c r="G10" s="80">
        <v>0.005757260924388188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3.0653776</v>
      </c>
      <c r="E11" s="78">
        <v>0.0035512676243078046</v>
      </c>
      <c r="F11" s="78">
        <v>0.38502441000000004</v>
      </c>
      <c r="G11" s="78">
        <v>0.005548295281199478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-0.24608670000000005</v>
      </c>
      <c r="E12" s="80">
        <v>0.00345766604445655</v>
      </c>
      <c r="F12" s="80">
        <v>0.18825796</v>
      </c>
      <c r="G12" s="80">
        <v>0.005009213320712326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16.146851</v>
      </c>
      <c r="D13" s="83">
        <v>0.20444101999999997</v>
      </c>
      <c r="E13" s="80">
        <v>0.001985037924223336</v>
      </c>
      <c r="F13" s="80">
        <v>0.0022104950000000003</v>
      </c>
      <c r="G13" s="80">
        <v>0.0024668925595230117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-0.07598011500000001</v>
      </c>
      <c r="E14" s="80">
        <v>0.002783168661299301</v>
      </c>
      <c r="F14" s="80">
        <v>0.022473439</v>
      </c>
      <c r="G14" s="80">
        <v>0.0038001045447439963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-0.094636146</v>
      </c>
      <c r="E15" s="78">
        <v>0.002607015087634387</v>
      </c>
      <c r="F15" s="78">
        <v>0.053641183999999995</v>
      </c>
      <c r="G15" s="78">
        <v>0.0013902895916081469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0.022614399700000003</v>
      </c>
      <c r="E16" s="80">
        <v>0.001393584528590651</v>
      </c>
      <c r="F16" s="80">
        <v>0.021631089000000003</v>
      </c>
      <c r="G16" s="80">
        <v>0.0012593037661953665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-0.1289999932050705</v>
      </c>
      <c r="D17" s="83">
        <v>-0.005339377</v>
      </c>
      <c r="E17" s="80">
        <v>0.0008481250630927023</v>
      </c>
      <c r="F17" s="80">
        <v>0.014927100399999999</v>
      </c>
      <c r="G17" s="80">
        <v>0.0016564196979234136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28.482999801635742</v>
      </c>
      <c r="D18" s="83">
        <v>0.01928525</v>
      </c>
      <c r="E18" s="80">
        <v>0.0014094175351363903</v>
      </c>
      <c r="F18" s="80">
        <v>0.04868399799999999</v>
      </c>
      <c r="G18" s="80">
        <v>0.0013089026711815533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-0.2280000001192093</v>
      </c>
      <c r="D19" s="86">
        <v>-0.16625578000000002</v>
      </c>
      <c r="E19" s="80">
        <v>0.0010857578066001453</v>
      </c>
      <c r="F19" s="80">
        <v>0.017460468</v>
      </c>
      <c r="G19" s="80">
        <v>0.001319316021344369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0.16190770000000004</v>
      </c>
      <c r="D20" s="88">
        <v>0.0047978162</v>
      </c>
      <c r="E20" s="89">
        <v>0.0007639959052594864</v>
      </c>
      <c r="F20" s="89">
        <v>-0.00366201662</v>
      </c>
      <c r="G20" s="89">
        <v>0.0012531947989013244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0.4123958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0.32521682014521314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-3.7532444</v>
      </c>
      <c r="I25" s="101" t="s">
        <v>49</v>
      </c>
      <c r="J25" s="102"/>
      <c r="K25" s="101"/>
      <c r="L25" s="104">
        <v>3.0894633234394626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2.2233859491649217</v>
      </c>
      <c r="I26" s="106" t="s">
        <v>53</v>
      </c>
      <c r="J26" s="107"/>
      <c r="K26" s="106"/>
      <c r="L26" s="109">
        <v>0.10878132537644121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HCMQAP145_pos3ap2res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4.4216717E-05</v>
      </c>
      <c r="L2" s="55">
        <v>8.567525772165677E-08</v>
      </c>
      <c r="M2" s="55">
        <v>0.00012470978</v>
      </c>
      <c r="N2" s="56">
        <v>2.770115658160389E-07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-2.8309373E-05</v>
      </c>
      <c r="L3" s="55">
        <v>1.7179218371621703E-07</v>
      </c>
      <c r="M3" s="55">
        <v>9.81914E-06</v>
      </c>
      <c r="N3" s="56">
        <v>2.464349902103767E-07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-0.003754283632536382</v>
      </c>
      <c r="L4" s="55">
        <v>-4.589103919323876E-05</v>
      </c>
      <c r="M4" s="55">
        <v>5.72760354689212E-08</v>
      </c>
      <c r="N4" s="56">
        <v>6.1115193</v>
      </c>
    </row>
    <row r="5" spans="1:14" ht="15" customHeight="1" thickBot="1">
      <c r="A5" t="s">
        <v>18</v>
      </c>
      <c r="B5" s="59">
        <v>37963.418657407405</v>
      </c>
      <c r="D5" s="60"/>
      <c r="E5" s="61" t="s">
        <v>77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2787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-0.88975429</v>
      </c>
      <c r="E8" s="78">
        <v>0.00645180205503644</v>
      </c>
      <c r="F8" s="78">
        <v>-1.15189053</v>
      </c>
      <c r="G8" s="78">
        <v>0.009125471494588713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0.45515380333</v>
      </c>
      <c r="E9" s="80">
        <v>0.006672760389519031</v>
      </c>
      <c r="F9" s="114">
        <v>2.9138285</v>
      </c>
      <c r="G9" s="80">
        <v>0.00938988560090309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0.8218305300000001</v>
      </c>
      <c r="E10" s="80">
        <v>0.0068593099917146376</v>
      </c>
      <c r="F10" s="80">
        <v>-0.43175328999999996</v>
      </c>
      <c r="G10" s="80">
        <v>0.008608063134492272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2.9149273</v>
      </c>
      <c r="E11" s="78">
        <v>0.004737409678195462</v>
      </c>
      <c r="F11" s="78">
        <v>0.23776929</v>
      </c>
      <c r="G11" s="78">
        <v>0.006207488161599377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-0.02009093934</v>
      </c>
      <c r="E12" s="80">
        <v>0.0036685357124727953</v>
      </c>
      <c r="F12" s="80">
        <v>0.43426805999999996</v>
      </c>
      <c r="G12" s="80">
        <v>0.00489000163552566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15.869141</v>
      </c>
      <c r="D13" s="83">
        <v>0.14467052</v>
      </c>
      <c r="E13" s="80">
        <v>0.0023079569095556573</v>
      </c>
      <c r="F13" s="80">
        <v>0.25743012</v>
      </c>
      <c r="G13" s="80">
        <v>0.004441846037585446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0.0120970726</v>
      </c>
      <c r="E14" s="80">
        <v>0.0019763153151351417</v>
      </c>
      <c r="F14" s="80">
        <v>0.07921095</v>
      </c>
      <c r="G14" s="80">
        <v>0.0023656776654757835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-0.078730111</v>
      </c>
      <c r="E15" s="78">
        <v>0.0014401164046749073</v>
      </c>
      <c r="F15" s="78">
        <v>-0.023887467</v>
      </c>
      <c r="G15" s="78">
        <v>0.0017707998407177575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-0.0016989756</v>
      </c>
      <c r="E16" s="80">
        <v>0.0013700730961185759</v>
      </c>
      <c r="F16" s="80">
        <v>0.04002323</v>
      </c>
      <c r="G16" s="80">
        <v>0.001288689138186582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0.46299999952316284</v>
      </c>
      <c r="D17" s="83">
        <v>-0.017037510999999998</v>
      </c>
      <c r="E17" s="80">
        <v>0.0015875465787950997</v>
      </c>
      <c r="F17" s="80">
        <v>0.03955822</v>
      </c>
      <c r="G17" s="80">
        <v>0.0013028157413348918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-1.0169999599456787</v>
      </c>
      <c r="D18" s="83">
        <v>0.017748239</v>
      </c>
      <c r="E18" s="80">
        <v>0.0008588926111127305</v>
      </c>
      <c r="F18" s="80">
        <v>0.06828014800000001</v>
      </c>
      <c r="G18" s="80">
        <v>0.0011298859215751987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0.2939999997615814</v>
      </c>
      <c r="D19" s="86">
        <v>-0.16965488</v>
      </c>
      <c r="E19" s="80">
        <v>0.0014208204100435344</v>
      </c>
      <c r="F19" s="80">
        <v>0.0105380932</v>
      </c>
      <c r="G19" s="80">
        <v>0.0012639676714324135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0.1932923</v>
      </c>
      <c r="D20" s="88">
        <v>7.391229999999995E-05</v>
      </c>
      <c r="E20" s="89">
        <v>0.0005489036806523162</v>
      </c>
      <c r="F20" s="89">
        <v>-0.005699003199999999</v>
      </c>
      <c r="G20" s="89">
        <v>0.0010404554104170296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0.567065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0.35016455807409624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-3.7545640999999996</v>
      </c>
      <c r="I25" s="101" t="s">
        <v>49</v>
      </c>
      <c r="J25" s="102"/>
      <c r="K25" s="101"/>
      <c r="L25" s="104">
        <v>2.9246085891196443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1.455511762122548</v>
      </c>
      <c r="I26" s="106" t="s">
        <v>53</v>
      </c>
      <c r="J26" s="107"/>
      <c r="K26" s="106"/>
      <c r="L26" s="109">
        <v>0.08227418463739651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HCMQAP145_pos4ap2res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3.86821677E-05</v>
      </c>
      <c r="L2" s="55">
        <v>7.300797174243773E-08</v>
      </c>
      <c r="M2" s="55">
        <v>9.5328925E-05</v>
      </c>
      <c r="N2" s="56">
        <v>1.0024706938608352E-07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-3.054914630000001E-05</v>
      </c>
      <c r="L3" s="55">
        <v>1.417773797651847E-07</v>
      </c>
      <c r="M3" s="55">
        <v>8.908795000000001E-06</v>
      </c>
      <c r="N3" s="56">
        <v>1.033698124212925E-07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-0.002082334692645589</v>
      </c>
      <c r="L4" s="55">
        <v>-3.30213509240727E-05</v>
      </c>
      <c r="M4" s="55">
        <v>4.7651850120903134E-08</v>
      </c>
      <c r="N4" s="56">
        <v>7.928260400000001</v>
      </c>
    </row>
    <row r="5" spans="1:14" ht="15" customHeight="1" thickBot="1">
      <c r="A5" t="s">
        <v>18</v>
      </c>
      <c r="B5" s="59">
        <v>37963.42304398148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2787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-4.8067523</v>
      </c>
      <c r="E8" s="78">
        <v>0.023903087226558987</v>
      </c>
      <c r="F8" s="115">
        <v>8.190268900000001</v>
      </c>
      <c r="G8" s="78">
        <v>0.027911781439656804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-1.01886765</v>
      </c>
      <c r="E9" s="80">
        <v>0.02886574676065149</v>
      </c>
      <c r="F9" s="80">
        <v>0.29262103</v>
      </c>
      <c r="G9" s="80">
        <v>0.01609385389530985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-0.37042534</v>
      </c>
      <c r="E10" s="80">
        <v>0.01190320256718381</v>
      </c>
      <c r="F10" s="80">
        <v>-1.3624954</v>
      </c>
      <c r="G10" s="80">
        <v>0.01086343613412017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14.201052999999998</v>
      </c>
      <c r="E11" s="78">
        <v>0.02003717185797266</v>
      </c>
      <c r="F11" s="117">
        <v>1.8046982</v>
      </c>
      <c r="G11" s="78">
        <v>0.007436511820756813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-0.54047271</v>
      </c>
      <c r="E12" s="80">
        <v>0.007423583594563608</v>
      </c>
      <c r="F12" s="80">
        <v>0.46475767999999995</v>
      </c>
      <c r="G12" s="80">
        <v>0.01651071983771937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15.692139</v>
      </c>
      <c r="D13" s="83">
        <v>-0.05450935999999999</v>
      </c>
      <c r="E13" s="80">
        <v>0.0034252682950974994</v>
      </c>
      <c r="F13" s="80">
        <v>-0.074167909</v>
      </c>
      <c r="G13" s="80">
        <v>0.012149382153524653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-0.0431071086</v>
      </c>
      <c r="E14" s="80">
        <v>0.0019233425483744851</v>
      </c>
      <c r="F14" s="80">
        <v>0.007463915999999998</v>
      </c>
      <c r="G14" s="80">
        <v>0.0076917666345771305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-0.31518789</v>
      </c>
      <c r="E15" s="78">
        <v>0.0038066146013729135</v>
      </c>
      <c r="F15" s="78">
        <v>0.29124047</v>
      </c>
      <c r="G15" s="78">
        <v>0.0014389096085588198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-0.0021509269999999995</v>
      </c>
      <c r="E16" s="80">
        <v>0.0024751387118111187</v>
      </c>
      <c r="F16" s="80">
        <v>0.0318767541</v>
      </c>
      <c r="G16" s="80">
        <v>0.0031678173208360637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0.008999999612569809</v>
      </c>
      <c r="D17" s="83">
        <v>-0.004849828</v>
      </c>
      <c r="E17" s="80">
        <v>0.0038947841087967885</v>
      </c>
      <c r="F17" s="80">
        <v>0.015857380100000002</v>
      </c>
      <c r="G17" s="80">
        <v>0.0031009546050520588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31.53499984741211</v>
      </c>
      <c r="D18" s="83">
        <v>-0.0009753898000000002</v>
      </c>
      <c r="E18" s="80">
        <v>0.0027891152585963457</v>
      </c>
      <c r="F18" s="80">
        <v>0.06388276500000001</v>
      </c>
      <c r="G18" s="80">
        <v>0.003575697298901116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-0.08699999749660492</v>
      </c>
      <c r="D19" s="83">
        <v>-0.13269584</v>
      </c>
      <c r="E19" s="80">
        <v>0.0006688138555661074</v>
      </c>
      <c r="F19" s="80">
        <v>-0.0178453471</v>
      </c>
      <c r="G19" s="80">
        <v>0.002213191956174067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0.3033785</v>
      </c>
      <c r="D20" s="88">
        <v>0.0013379589960000001</v>
      </c>
      <c r="E20" s="89">
        <v>0.0009208919637945013</v>
      </c>
      <c r="F20" s="89">
        <v>0.0028353665999999995</v>
      </c>
      <c r="G20" s="89">
        <v>0.0010393668974760747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0.7830669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0.45425624349453625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-2.0825965</v>
      </c>
      <c r="I25" s="101" t="s">
        <v>49</v>
      </c>
      <c r="J25" s="102"/>
      <c r="K25" s="101"/>
      <c r="L25" s="104">
        <v>14.315266043699369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9.496597934411172</v>
      </c>
      <c r="I26" s="106" t="s">
        <v>53</v>
      </c>
      <c r="J26" s="107"/>
      <c r="K26" s="106"/>
      <c r="L26" s="109">
        <v>0.42914381897969006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HCMQAP145_pos5ap2res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0" t="s">
        <v>120</v>
      </c>
      <c r="B1" s="132" t="s">
        <v>68</v>
      </c>
      <c r="C1" s="122" t="s">
        <v>72</v>
      </c>
      <c r="D1" s="122" t="s">
        <v>75</v>
      </c>
      <c r="E1" s="122" t="s">
        <v>78</v>
      </c>
      <c r="F1" s="129" t="s">
        <v>81</v>
      </c>
      <c r="G1" s="163" t="s">
        <v>121</v>
      </c>
    </row>
    <row r="2" spans="1:7" ht="13.5" thickBot="1">
      <c r="A2" s="141" t="s">
        <v>90</v>
      </c>
      <c r="B2" s="133">
        <v>-2.2547771</v>
      </c>
      <c r="C2" s="124">
        <v>-3.7537408</v>
      </c>
      <c r="D2" s="124">
        <v>-3.7532444</v>
      </c>
      <c r="E2" s="124">
        <v>-3.7545640999999996</v>
      </c>
      <c r="F2" s="130">
        <v>-2.0825965</v>
      </c>
      <c r="G2" s="164">
        <v>3.1161695352281593</v>
      </c>
    </row>
    <row r="3" spans="1:7" ht="14.25" thickBot="1" thickTop="1">
      <c r="A3" s="149" t="s">
        <v>89</v>
      </c>
      <c r="B3" s="150" t="s">
        <v>84</v>
      </c>
      <c r="C3" s="151" t="s">
        <v>85</v>
      </c>
      <c r="D3" s="151" t="s">
        <v>86</v>
      </c>
      <c r="E3" s="151" t="s">
        <v>87</v>
      </c>
      <c r="F3" s="152" t="s">
        <v>88</v>
      </c>
      <c r="G3" s="159" t="s">
        <v>122</v>
      </c>
    </row>
    <row r="4" spans="1:7" ht="12.75">
      <c r="A4" s="146" t="s">
        <v>91</v>
      </c>
      <c r="B4" s="147">
        <v>-1.0583109</v>
      </c>
      <c r="C4" s="148">
        <v>0.90052349</v>
      </c>
      <c r="D4" s="148">
        <v>-1.2881464</v>
      </c>
      <c r="E4" s="148">
        <v>-0.88975429</v>
      </c>
      <c r="F4" s="153">
        <v>-4.8067523</v>
      </c>
      <c r="G4" s="160">
        <v>-1.102115628112445</v>
      </c>
    </row>
    <row r="5" spans="1:7" ht="12.75">
      <c r="A5" s="141" t="s">
        <v>93</v>
      </c>
      <c r="B5" s="135">
        <v>-0.050501639999999993</v>
      </c>
      <c r="C5" s="119">
        <v>0.58938278</v>
      </c>
      <c r="D5" s="119">
        <v>0.06393761</v>
      </c>
      <c r="E5" s="119">
        <v>0.45515380333</v>
      </c>
      <c r="F5" s="154">
        <v>-1.01886765</v>
      </c>
      <c r="G5" s="161">
        <v>0.12343850045626654</v>
      </c>
    </row>
    <row r="6" spans="1:7" ht="12.75">
      <c r="A6" s="141" t="s">
        <v>95</v>
      </c>
      <c r="B6" s="135">
        <v>-0.08850108999999999</v>
      </c>
      <c r="C6" s="119">
        <v>0.51641986</v>
      </c>
      <c r="D6" s="119">
        <v>0.55508083</v>
      </c>
      <c r="E6" s="119">
        <v>0.8218305300000001</v>
      </c>
      <c r="F6" s="154">
        <v>-0.37042534</v>
      </c>
      <c r="G6" s="161">
        <v>0.39339119829400293</v>
      </c>
    </row>
    <row r="7" spans="1:7" ht="12.75">
      <c r="A7" s="141" t="s">
        <v>97</v>
      </c>
      <c r="B7" s="134">
        <v>3.7776295000000006</v>
      </c>
      <c r="C7" s="118">
        <v>3.1466390000000004</v>
      </c>
      <c r="D7" s="118">
        <v>3.0653776</v>
      </c>
      <c r="E7" s="118">
        <v>2.9149273</v>
      </c>
      <c r="F7" s="155">
        <v>14.201052999999998</v>
      </c>
      <c r="G7" s="161">
        <v>4.638386645653946</v>
      </c>
    </row>
    <row r="8" spans="1:7" ht="12.75">
      <c r="A8" s="141" t="s">
        <v>99</v>
      </c>
      <c r="B8" s="135">
        <v>0.075974473</v>
      </c>
      <c r="C8" s="119">
        <v>0.22105590999999997</v>
      </c>
      <c r="D8" s="119">
        <v>-0.24608670000000005</v>
      </c>
      <c r="E8" s="119">
        <v>-0.02009093934</v>
      </c>
      <c r="F8" s="154">
        <v>-0.54047271</v>
      </c>
      <c r="G8" s="161">
        <v>-0.07202745595397107</v>
      </c>
    </row>
    <row r="9" spans="1:7" ht="12.75">
      <c r="A9" s="141" t="s">
        <v>101</v>
      </c>
      <c r="B9" s="135">
        <v>-0.030011682</v>
      </c>
      <c r="C9" s="119">
        <v>0.139768737</v>
      </c>
      <c r="D9" s="119">
        <v>0.20444101999999997</v>
      </c>
      <c r="E9" s="119">
        <v>0.14467052</v>
      </c>
      <c r="F9" s="154">
        <v>-0.05450935999999999</v>
      </c>
      <c r="G9" s="161">
        <v>0.10603019322235815</v>
      </c>
    </row>
    <row r="10" spans="1:7" ht="12.75">
      <c r="A10" s="141" t="s">
        <v>103</v>
      </c>
      <c r="B10" s="135">
        <v>-0.127830639</v>
      </c>
      <c r="C10" s="119">
        <v>0.032026780000000005</v>
      </c>
      <c r="D10" s="119">
        <v>-0.07598011500000001</v>
      </c>
      <c r="E10" s="119">
        <v>0.0120970726</v>
      </c>
      <c r="F10" s="154">
        <v>-0.0431071086</v>
      </c>
      <c r="G10" s="161">
        <v>-0.031895585998984274</v>
      </c>
    </row>
    <row r="11" spans="1:7" ht="12.75">
      <c r="A11" s="141" t="s">
        <v>105</v>
      </c>
      <c r="B11" s="134">
        <v>-0.37247091</v>
      </c>
      <c r="C11" s="118">
        <v>-0.079105602</v>
      </c>
      <c r="D11" s="118">
        <v>-0.094636146</v>
      </c>
      <c r="E11" s="118">
        <v>-0.078730111</v>
      </c>
      <c r="F11" s="156">
        <v>-0.31518789</v>
      </c>
      <c r="G11" s="161">
        <v>-0.1566761916579641</v>
      </c>
    </row>
    <row r="12" spans="1:7" ht="12.75">
      <c r="A12" s="141" t="s">
        <v>107</v>
      </c>
      <c r="B12" s="135">
        <v>0.053127698999999994</v>
      </c>
      <c r="C12" s="119">
        <v>0.0065378526990000005</v>
      </c>
      <c r="D12" s="119">
        <v>0.022614399700000003</v>
      </c>
      <c r="E12" s="119">
        <v>-0.0016989756</v>
      </c>
      <c r="F12" s="154">
        <v>-0.0021509269999999995</v>
      </c>
      <c r="G12" s="161">
        <v>0.013997855371053507</v>
      </c>
    </row>
    <row r="13" spans="1:7" ht="12.75">
      <c r="A13" s="141" t="s">
        <v>109</v>
      </c>
      <c r="B13" s="135">
        <v>-0.006004849000000001</v>
      </c>
      <c r="C13" s="119">
        <v>-0.015321631000000002</v>
      </c>
      <c r="D13" s="119">
        <v>-0.005339377</v>
      </c>
      <c r="E13" s="119">
        <v>-0.017037510999999998</v>
      </c>
      <c r="F13" s="154">
        <v>-0.004849828</v>
      </c>
      <c r="G13" s="161">
        <v>-0.01058801798542761</v>
      </c>
    </row>
    <row r="14" spans="1:7" ht="12.75">
      <c r="A14" s="141" t="s">
        <v>111</v>
      </c>
      <c r="B14" s="135">
        <v>-0.00340080211</v>
      </c>
      <c r="C14" s="119">
        <v>0.00539952123</v>
      </c>
      <c r="D14" s="119">
        <v>0.01928525</v>
      </c>
      <c r="E14" s="119">
        <v>0.017748239</v>
      </c>
      <c r="F14" s="154">
        <v>-0.0009753898000000002</v>
      </c>
      <c r="G14" s="161">
        <v>0.009589647153866097</v>
      </c>
    </row>
    <row r="15" spans="1:7" ht="12.75">
      <c r="A15" s="141" t="s">
        <v>113</v>
      </c>
      <c r="B15" s="136">
        <v>-0.18857582</v>
      </c>
      <c r="C15" s="120">
        <v>-0.16772202</v>
      </c>
      <c r="D15" s="120">
        <v>-0.16625578000000002</v>
      </c>
      <c r="E15" s="120">
        <v>-0.16965488</v>
      </c>
      <c r="F15" s="154">
        <v>-0.13269584</v>
      </c>
      <c r="G15" s="161">
        <v>-0.16617250022571356</v>
      </c>
    </row>
    <row r="16" spans="1:7" ht="12.75">
      <c r="A16" s="141" t="s">
        <v>115</v>
      </c>
      <c r="B16" s="135">
        <v>0.004053530519999999</v>
      </c>
      <c r="C16" s="119">
        <v>-0.00167691064</v>
      </c>
      <c r="D16" s="119">
        <v>0.0047978162</v>
      </c>
      <c r="E16" s="119">
        <v>7.391229999999995E-05</v>
      </c>
      <c r="F16" s="154">
        <v>0.0013379589960000001</v>
      </c>
      <c r="G16" s="161">
        <v>0.0015332105961332625</v>
      </c>
    </row>
    <row r="17" spans="1:7" ht="12.75">
      <c r="A17" s="141" t="s">
        <v>92</v>
      </c>
      <c r="B17" s="134">
        <v>2.7276525</v>
      </c>
      <c r="C17" s="118">
        <v>-1.2621129</v>
      </c>
      <c r="D17" s="118">
        <v>-1.8122152</v>
      </c>
      <c r="E17" s="118">
        <v>-1.15189053</v>
      </c>
      <c r="F17" s="155">
        <v>8.190268900000001</v>
      </c>
      <c r="G17" s="161">
        <v>0.4707437633374951</v>
      </c>
    </row>
    <row r="18" spans="1:7" ht="12.75">
      <c r="A18" s="141" t="s">
        <v>94</v>
      </c>
      <c r="B18" s="135">
        <v>2.1107391</v>
      </c>
      <c r="C18" s="119">
        <v>-1.00565155</v>
      </c>
      <c r="D18" s="119">
        <v>-0.3044851</v>
      </c>
      <c r="E18" s="120">
        <v>2.9138285</v>
      </c>
      <c r="F18" s="154">
        <v>0.29262103</v>
      </c>
      <c r="G18" s="161">
        <v>0.7302460190401464</v>
      </c>
    </row>
    <row r="19" spans="1:7" ht="12.75">
      <c r="A19" s="141" t="s">
        <v>96</v>
      </c>
      <c r="B19" s="135">
        <v>-0.34807636999999997</v>
      </c>
      <c r="C19" s="119">
        <v>-0.57364683</v>
      </c>
      <c r="D19" s="119">
        <v>-0.80478591</v>
      </c>
      <c r="E19" s="119">
        <v>-0.43175328999999996</v>
      </c>
      <c r="F19" s="154">
        <v>-1.3624954</v>
      </c>
      <c r="G19" s="161">
        <v>-0.6678209751643932</v>
      </c>
    </row>
    <row r="20" spans="1:7" ht="12.75">
      <c r="A20" s="141" t="s">
        <v>98</v>
      </c>
      <c r="B20" s="134">
        <v>0.7710816</v>
      </c>
      <c r="C20" s="118">
        <v>0.11466851400000003</v>
      </c>
      <c r="D20" s="118">
        <v>0.38502441000000004</v>
      </c>
      <c r="E20" s="118">
        <v>0.23776929</v>
      </c>
      <c r="F20" s="157">
        <v>1.8046982</v>
      </c>
      <c r="G20" s="161">
        <v>0.52986491261375</v>
      </c>
    </row>
    <row r="21" spans="1:7" ht="12.75">
      <c r="A21" s="141" t="s">
        <v>100</v>
      </c>
      <c r="B21" s="135">
        <v>0.39912524000000005</v>
      </c>
      <c r="C21" s="119">
        <v>0.30232629</v>
      </c>
      <c r="D21" s="119">
        <v>0.18825796</v>
      </c>
      <c r="E21" s="119">
        <v>0.43426805999999996</v>
      </c>
      <c r="F21" s="154">
        <v>0.46475767999999995</v>
      </c>
      <c r="G21" s="161">
        <v>0.3423160134065299</v>
      </c>
    </row>
    <row r="22" spans="1:7" ht="12.75">
      <c r="A22" s="141" t="s">
        <v>102</v>
      </c>
      <c r="B22" s="135">
        <v>0.30200327000000005</v>
      </c>
      <c r="C22" s="119">
        <v>-0.2582726</v>
      </c>
      <c r="D22" s="119">
        <v>0.0022104950000000003</v>
      </c>
      <c r="E22" s="119">
        <v>0.25743012</v>
      </c>
      <c r="F22" s="154">
        <v>-0.074167909</v>
      </c>
      <c r="G22" s="161">
        <v>0.03409429302801339</v>
      </c>
    </row>
    <row r="23" spans="1:7" ht="12.75">
      <c r="A23" s="141" t="s">
        <v>104</v>
      </c>
      <c r="B23" s="135">
        <v>-0.013270425999999998</v>
      </c>
      <c r="C23" s="119">
        <v>0.0397497432</v>
      </c>
      <c r="D23" s="119">
        <v>0.022473439</v>
      </c>
      <c r="E23" s="119">
        <v>0.07921095</v>
      </c>
      <c r="F23" s="154">
        <v>0.007463915999999998</v>
      </c>
      <c r="G23" s="161">
        <v>0.033116620109558875</v>
      </c>
    </row>
    <row r="24" spans="1:7" ht="12.75">
      <c r="A24" s="141" t="s">
        <v>106</v>
      </c>
      <c r="B24" s="134">
        <v>0.09750266999999999</v>
      </c>
      <c r="C24" s="118">
        <v>0.071236986</v>
      </c>
      <c r="D24" s="118">
        <v>0.053641183999999995</v>
      </c>
      <c r="E24" s="118">
        <v>-0.023887467</v>
      </c>
      <c r="F24" s="156">
        <v>0.29124047</v>
      </c>
      <c r="G24" s="161">
        <v>0.07727647652016253</v>
      </c>
    </row>
    <row r="25" spans="1:7" ht="12.75">
      <c r="A25" s="141" t="s">
        <v>108</v>
      </c>
      <c r="B25" s="135">
        <v>0.0060662104</v>
      </c>
      <c r="C25" s="119">
        <v>0.03235695100000001</v>
      </c>
      <c r="D25" s="119">
        <v>0.021631089000000003</v>
      </c>
      <c r="E25" s="119">
        <v>0.04002323</v>
      </c>
      <c r="F25" s="154">
        <v>0.0318767541</v>
      </c>
      <c r="G25" s="161">
        <v>0.027757078158596318</v>
      </c>
    </row>
    <row r="26" spans="1:7" ht="12.75">
      <c r="A26" s="141" t="s">
        <v>110</v>
      </c>
      <c r="B26" s="135">
        <v>0.024292763000000002</v>
      </c>
      <c r="C26" s="119">
        <v>-0.02502548611</v>
      </c>
      <c r="D26" s="119">
        <v>0.014927100399999999</v>
      </c>
      <c r="E26" s="119">
        <v>0.03955822</v>
      </c>
      <c r="F26" s="154">
        <v>0.015857380100000002</v>
      </c>
      <c r="G26" s="161">
        <v>0.0127194058000669</v>
      </c>
    </row>
    <row r="27" spans="1:7" ht="12.75">
      <c r="A27" s="141" t="s">
        <v>112</v>
      </c>
      <c r="B27" s="135">
        <v>0.05952457</v>
      </c>
      <c r="C27" s="119">
        <v>0.054841676000000006</v>
      </c>
      <c r="D27" s="119">
        <v>0.04868399799999999</v>
      </c>
      <c r="E27" s="119">
        <v>0.06828014800000001</v>
      </c>
      <c r="F27" s="154">
        <v>0.06388276500000001</v>
      </c>
      <c r="G27" s="161">
        <v>0.05847860381121881</v>
      </c>
    </row>
    <row r="28" spans="1:7" ht="12.75">
      <c r="A28" s="141" t="s">
        <v>114</v>
      </c>
      <c r="B28" s="135">
        <v>0.014385605700000002</v>
      </c>
      <c r="C28" s="119">
        <v>0.018461217999999998</v>
      </c>
      <c r="D28" s="119">
        <v>0.017460468</v>
      </c>
      <c r="E28" s="119">
        <v>0.0105380932</v>
      </c>
      <c r="F28" s="154">
        <v>-0.0178453471</v>
      </c>
      <c r="G28" s="161">
        <v>0.010877010890802724</v>
      </c>
    </row>
    <row r="29" spans="1:7" ht="13.5" thickBot="1">
      <c r="A29" s="142" t="s">
        <v>116</v>
      </c>
      <c r="B29" s="137">
        <v>-0.00406673222</v>
      </c>
      <c r="C29" s="121">
        <v>-0.0023626702</v>
      </c>
      <c r="D29" s="121">
        <v>-0.00366201662</v>
      </c>
      <c r="E29" s="121">
        <v>-0.005699003199999999</v>
      </c>
      <c r="F29" s="158">
        <v>0.0028353665999999995</v>
      </c>
      <c r="G29" s="162">
        <v>-0.0030306719346002067</v>
      </c>
    </row>
    <row r="30" spans="1:7" ht="13.5" thickTop="1">
      <c r="A30" s="143" t="s">
        <v>117</v>
      </c>
      <c r="B30" s="138">
        <v>0.22839709255504378</v>
      </c>
      <c r="C30" s="127">
        <v>0.3387817907492703</v>
      </c>
      <c r="D30" s="127">
        <v>0.32521682014521314</v>
      </c>
      <c r="E30" s="127">
        <v>0.35016455807409624</v>
      </c>
      <c r="F30" s="123">
        <v>0.45425624349453625</v>
      </c>
      <c r="G30" s="163" t="s">
        <v>128</v>
      </c>
    </row>
    <row r="31" spans="1:7" ht="13.5" thickBot="1">
      <c r="A31" s="144" t="s">
        <v>118</v>
      </c>
      <c r="B31" s="133">
        <v>16.760254</v>
      </c>
      <c r="C31" s="124">
        <v>16.461182</v>
      </c>
      <c r="D31" s="124">
        <v>16.146851</v>
      </c>
      <c r="E31" s="124">
        <v>15.869141</v>
      </c>
      <c r="F31" s="125">
        <v>15.692139</v>
      </c>
      <c r="G31" s="165">
        <v>-209.69</v>
      </c>
    </row>
    <row r="32" spans="1:7" ht="15.75" thickBot="1" thickTop="1">
      <c r="A32" s="145" t="s">
        <v>119</v>
      </c>
      <c r="B32" s="139">
        <v>-0.2979999929666519</v>
      </c>
      <c r="C32" s="128">
        <v>0.3974999934434891</v>
      </c>
      <c r="D32" s="128">
        <v>-0.1784999966621399</v>
      </c>
      <c r="E32" s="128">
        <v>0.37849999964237213</v>
      </c>
      <c r="F32" s="126">
        <v>-0.038999998942017555</v>
      </c>
      <c r="G32" s="131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66.83203125" style="166" bestFit="1" customWidth="1"/>
    <col min="2" max="3" width="15.33203125" style="166" bestFit="1" customWidth="1"/>
    <col min="4" max="4" width="16" style="166" bestFit="1" customWidth="1"/>
    <col min="5" max="5" width="22.16015625" style="166" bestFit="1" customWidth="1"/>
    <col min="6" max="6" width="14.83203125" style="166" bestFit="1" customWidth="1"/>
    <col min="7" max="7" width="15.3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129</v>
      </c>
      <c r="B1" s="166" t="s">
        <v>130</v>
      </c>
      <c r="C1" s="166" t="s">
        <v>131</v>
      </c>
      <c r="D1" s="166" t="s">
        <v>132</v>
      </c>
      <c r="E1" s="166" t="s">
        <v>28</v>
      </c>
    </row>
    <row r="3" spans="1:7" ht="12.75">
      <c r="A3" s="166" t="s">
        <v>133</v>
      </c>
      <c r="B3" s="166" t="s">
        <v>84</v>
      </c>
      <c r="C3" s="166" t="s">
        <v>85</v>
      </c>
      <c r="D3" s="166" t="s">
        <v>86</v>
      </c>
      <c r="E3" s="166" t="s">
        <v>87</v>
      </c>
      <c r="F3" s="166" t="s">
        <v>88</v>
      </c>
      <c r="G3" s="166" t="s">
        <v>134</v>
      </c>
    </row>
    <row r="4" spans="1:7" ht="12.75">
      <c r="A4" s="166" t="s">
        <v>135</v>
      </c>
      <c r="B4" s="166">
        <f>0.002252*1.0033</f>
        <v>0.0022594316000000003</v>
      </c>
      <c r="C4" s="166">
        <f>0.00375*1.0033</f>
        <v>0.003762375</v>
      </c>
      <c r="D4" s="166">
        <f>0.003749*1.0033</f>
        <v>0.0037613717000000006</v>
      </c>
      <c r="E4" s="166">
        <f>0.00375*1.0033</f>
        <v>0.003762375</v>
      </c>
      <c r="F4" s="166">
        <f>0.00208*1.0033</f>
        <v>0.002086864</v>
      </c>
      <c r="G4" s="166">
        <f>0.011685*1.0033</f>
        <v>0.0117235605</v>
      </c>
    </row>
    <row r="5" spans="1:7" ht="12.75">
      <c r="A5" s="166" t="s">
        <v>136</v>
      </c>
      <c r="B5" s="166">
        <v>1.950695</v>
      </c>
      <c r="C5" s="166">
        <v>0.293635</v>
      </c>
      <c r="D5" s="166">
        <v>-0.132186</v>
      </c>
      <c r="E5" s="166">
        <v>-0.033501</v>
      </c>
      <c r="F5" s="166">
        <v>-2.365393</v>
      </c>
      <c r="G5" s="166">
        <v>5.920686</v>
      </c>
    </row>
    <row r="6" spans="1:7" ht="12.75">
      <c r="A6" s="166" t="s">
        <v>137</v>
      </c>
      <c r="B6" s="167">
        <v>55.34799</v>
      </c>
      <c r="C6" s="167">
        <v>48.23426</v>
      </c>
      <c r="D6" s="167">
        <v>-5.896571</v>
      </c>
      <c r="E6" s="167">
        <v>-25.05987</v>
      </c>
      <c r="F6" s="167">
        <v>-91.05898</v>
      </c>
      <c r="G6" s="167">
        <v>0.0006315616</v>
      </c>
    </row>
    <row r="7" spans="1:7" ht="12.75">
      <c r="A7" s="166" t="s">
        <v>138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91</v>
      </c>
      <c r="B8" s="167">
        <v>-1.089508</v>
      </c>
      <c r="C8" s="167">
        <v>0.9107075</v>
      </c>
      <c r="D8" s="167">
        <v>-1.292142</v>
      </c>
      <c r="E8" s="167">
        <v>-0.8864487</v>
      </c>
      <c r="F8" s="167">
        <v>-4.732747</v>
      </c>
      <c r="G8" s="167">
        <v>-1.094422</v>
      </c>
    </row>
    <row r="9" spans="1:7" ht="12.75">
      <c r="A9" s="166" t="s">
        <v>93</v>
      </c>
      <c r="B9" s="167">
        <v>-0.08071109</v>
      </c>
      <c r="C9" s="167">
        <v>0.606663</v>
      </c>
      <c r="D9" s="167">
        <v>0.0816632</v>
      </c>
      <c r="E9" s="167">
        <v>0.4416029</v>
      </c>
      <c r="F9" s="167">
        <v>-1.138952</v>
      </c>
      <c r="G9" s="167">
        <v>0.108207</v>
      </c>
    </row>
    <row r="10" spans="1:7" ht="12.75">
      <c r="A10" s="166" t="s">
        <v>95</v>
      </c>
      <c r="B10" s="167">
        <v>0.03378808</v>
      </c>
      <c r="C10" s="167">
        <v>0.5948219</v>
      </c>
      <c r="D10" s="167">
        <v>0.5360419</v>
      </c>
      <c r="E10" s="167">
        <v>0.7917427</v>
      </c>
      <c r="F10" s="167">
        <v>-0.8951472</v>
      </c>
      <c r="G10" s="167">
        <v>0.3480837</v>
      </c>
    </row>
    <row r="11" spans="1:7" ht="12.75">
      <c r="A11" s="166" t="s">
        <v>97</v>
      </c>
      <c r="B11" s="167">
        <v>3.772957</v>
      </c>
      <c r="C11" s="167">
        <v>3.146345</v>
      </c>
      <c r="D11" s="167">
        <v>3.057724</v>
      </c>
      <c r="E11" s="167">
        <v>2.919844</v>
      </c>
      <c r="F11" s="167">
        <v>14.29657</v>
      </c>
      <c r="G11" s="167">
        <v>4.649621</v>
      </c>
    </row>
    <row r="12" spans="1:7" ht="12.75">
      <c r="A12" s="166" t="s">
        <v>99</v>
      </c>
      <c r="B12" s="167">
        <v>0.05983022</v>
      </c>
      <c r="C12" s="167">
        <v>0.2280141</v>
      </c>
      <c r="D12" s="167">
        <v>-0.2501793</v>
      </c>
      <c r="E12" s="167">
        <v>-0.02340844</v>
      </c>
      <c r="F12" s="167">
        <v>-0.5568064</v>
      </c>
      <c r="G12" s="167">
        <v>-0.07665311</v>
      </c>
    </row>
    <row r="13" spans="1:7" ht="12.75">
      <c r="A13" s="166" t="s">
        <v>101</v>
      </c>
      <c r="B13" s="167">
        <v>-0.0432735</v>
      </c>
      <c r="C13" s="167">
        <v>0.1387019</v>
      </c>
      <c r="D13" s="167">
        <v>0.2024546</v>
      </c>
      <c r="E13" s="167">
        <v>0.1444078</v>
      </c>
      <c r="F13" s="167">
        <v>-0.05550963</v>
      </c>
      <c r="G13" s="167">
        <v>0.1031836</v>
      </c>
    </row>
    <row r="14" spans="1:7" ht="12.75">
      <c r="A14" s="166" t="s">
        <v>103</v>
      </c>
      <c r="B14" s="167">
        <v>-0.1380567</v>
      </c>
      <c r="C14" s="167">
        <v>0.02890519</v>
      </c>
      <c r="D14" s="167">
        <v>-0.07619625</v>
      </c>
      <c r="E14" s="167">
        <v>0.01634333</v>
      </c>
      <c r="F14" s="167">
        <v>0.03056515</v>
      </c>
      <c r="G14" s="167">
        <v>-0.02332001</v>
      </c>
    </row>
    <row r="15" spans="1:7" ht="12.75">
      <c r="A15" s="166" t="s">
        <v>105</v>
      </c>
      <c r="B15" s="167">
        <v>-0.3733285</v>
      </c>
      <c r="C15" s="167">
        <v>-0.08065032</v>
      </c>
      <c r="D15" s="167">
        <v>-0.09693366</v>
      </c>
      <c r="E15" s="167">
        <v>-0.0788744</v>
      </c>
      <c r="F15" s="167">
        <v>-0.3070285</v>
      </c>
      <c r="G15" s="167">
        <v>-0.1566697</v>
      </c>
    </row>
    <row r="16" spans="1:7" ht="12.75">
      <c r="A16" s="166" t="s">
        <v>107</v>
      </c>
      <c r="B16" s="167">
        <v>0.0437523</v>
      </c>
      <c r="C16" s="167">
        <v>0.00249084</v>
      </c>
      <c r="D16" s="167">
        <v>0.01746296</v>
      </c>
      <c r="E16" s="167">
        <v>-0.004358123</v>
      </c>
      <c r="F16" s="167">
        <v>-0.01323183</v>
      </c>
      <c r="G16" s="167">
        <v>0.008309081</v>
      </c>
    </row>
    <row r="17" spans="1:7" ht="12.75">
      <c r="A17" s="166" t="s">
        <v>109</v>
      </c>
      <c r="B17" s="167">
        <v>-0.007432852</v>
      </c>
      <c r="C17" s="167">
        <v>-0.01767228</v>
      </c>
      <c r="D17" s="167">
        <v>-0.009783268</v>
      </c>
      <c r="E17" s="167">
        <v>-0.01622229</v>
      </c>
      <c r="F17" s="167">
        <v>0.005918162</v>
      </c>
      <c r="G17" s="167">
        <v>-0.01079612</v>
      </c>
    </row>
    <row r="18" spans="1:7" ht="12.75">
      <c r="A18" s="166" t="s">
        <v>111</v>
      </c>
      <c r="B18" s="167">
        <v>-0.00840433</v>
      </c>
      <c r="C18" s="167">
        <v>0.001893549</v>
      </c>
      <c r="D18" s="167">
        <v>0.01944985</v>
      </c>
      <c r="E18" s="167">
        <v>0.019808</v>
      </c>
      <c r="F18" s="167">
        <v>0.005912606</v>
      </c>
      <c r="G18" s="167">
        <v>0.009475524</v>
      </c>
    </row>
    <row r="19" spans="1:7" ht="12.75">
      <c r="A19" s="166" t="s">
        <v>113</v>
      </c>
      <c r="B19" s="167">
        <v>-0.1888679</v>
      </c>
      <c r="C19" s="167">
        <v>-0.1677902</v>
      </c>
      <c r="D19" s="167">
        <v>-0.1661649</v>
      </c>
      <c r="E19" s="167">
        <v>-0.1696427</v>
      </c>
      <c r="F19" s="167">
        <v>-0.1331435</v>
      </c>
      <c r="G19" s="167">
        <v>-0.1662668</v>
      </c>
    </row>
    <row r="20" spans="1:7" ht="12.75">
      <c r="A20" s="166" t="s">
        <v>115</v>
      </c>
      <c r="B20" s="167">
        <v>0.004197848</v>
      </c>
      <c r="C20" s="167">
        <v>-0.001657238</v>
      </c>
      <c r="D20" s="167">
        <v>0.004778002</v>
      </c>
      <c r="E20" s="167">
        <v>5.74244E-05</v>
      </c>
      <c r="F20" s="167">
        <v>0.001444205</v>
      </c>
      <c r="G20" s="167">
        <v>0.001564381</v>
      </c>
    </row>
    <row r="21" spans="1:7" ht="12.75">
      <c r="A21" s="166" t="s">
        <v>139</v>
      </c>
      <c r="B21" s="167">
        <v>-11.96389</v>
      </c>
      <c r="C21" s="167">
        <v>36.30816</v>
      </c>
      <c r="D21" s="167">
        <v>71.30835</v>
      </c>
      <c r="E21" s="167">
        <v>-19.50669</v>
      </c>
      <c r="F21" s="167">
        <v>-145.8574</v>
      </c>
      <c r="G21" s="167">
        <v>-0.001330699</v>
      </c>
    </row>
    <row r="22" spans="1:7" ht="12.75">
      <c r="A22" s="166" t="s">
        <v>140</v>
      </c>
      <c r="B22" s="167">
        <v>39.01409</v>
      </c>
      <c r="C22" s="167">
        <v>5.872692</v>
      </c>
      <c r="D22" s="167">
        <v>-2.643711</v>
      </c>
      <c r="E22" s="167">
        <v>-0.6700239</v>
      </c>
      <c r="F22" s="167">
        <v>-47.3082</v>
      </c>
      <c r="G22" s="167">
        <v>0</v>
      </c>
    </row>
    <row r="23" spans="1:7" ht="12.75">
      <c r="A23" s="166" t="s">
        <v>92</v>
      </c>
      <c r="B23" s="167">
        <v>2.762723</v>
      </c>
      <c r="C23" s="167">
        <v>-1.267846</v>
      </c>
      <c r="D23" s="167">
        <v>-1.809511</v>
      </c>
      <c r="E23" s="167">
        <v>-1.17527</v>
      </c>
      <c r="F23" s="167">
        <v>8.269678</v>
      </c>
      <c r="G23" s="167">
        <v>0.4799501</v>
      </c>
    </row>
    <row r="24" spans="1:7" ht="12.75">
      <c r="A24" s="166" t="s">
        <v>94</v>
      </c>
      <c r="B24" s="167">
        <v>2.102772</v>
      </c>
      <c r="C24" s="167">
        <v>-1.008585</v>
      </c>
      <c r="D24" s="167">
        <v>-0.288703</v>
      </c>
      <c r="E24" s="167">
        <v>2.909733</v>
      </c>
      <c r="F24" s="167">
        <v>0.4128619</v>
      </c>
      <c r="G24" s="167">
        <v>0.7472498</v>
      </c>
    </row>
    <row r="25" spans="1:7" ht="12.75">
      <c r="A25" s="166" t="s">
        <v>96</v>
      </c>
      <c r="B25" s="167">
        <v>-0.3525668</v>
      </c>
      <c r="C25" s="167">
        <v>-0.513081</v>
      </c>
      <c r="D25" s="167">
        <v>-0.6973973</v>
      </c>
      <c r="E25" s="167">
        <v>-0.4637741</v>
      </c>
      <c r="F25" s="167">
        <v>-2.478255</v>
      </c>
      <c r="G25" s="167">
        <v>-0.7847055</v>
      </c>
    </row>
    <row r="26" spans="1:7" ht="12.75">
      <c r="A26" s="166" t="s">
        <v>98</v>
      </c>
      <c r="B26" s="167">
        <v>0.8317587</v>
      </c>
      <c r="C26" s="167">
        <v>0.1357792</v>
      </c>
      <c r="D26" s="167">
        <v>0.3727989</v>
      </c>
      <c r="E26" s="167">
        <v>0.2322036</v>
      </c>
      <c r="F26" s="167">
        <v>1.631782</v>
      </c>
      <c r="G26" s="167">
        <v>0.516419</v>
      </c>
    </row>
    <row r="27" spans="1:7" ht="12.75">
      <c r="A27" s="166" t="s">
        <v>100</v>
      </c>
      <c r="B27" s="167">
        <v>0.4185377</v>
      </c>
      <c r="C27" s="167">
        <v>0.3020737</v>
      </c>
      <c r="D27" s="167">
        <v>0.2022212</v>
      </c>
      <c r="E27" s="167">
        <v>0.4321702</v>
      </c>
      <c r="F27" s="167">
        <v>0.4905722</v>
      </c>
      <c r="G27" s="167">
        <v>0.3513588</v>
      </c>
    </row>
    <row r="28" spans="1:7" ht="12.75">
      <c r="A28" s="166" t="s">
        <v>102</v>
      </c>
      <c r="B28" s="167">
        <v>0.2942931</v>
      </c>
      <c r="C28" s="167">
        <v>-0.2575958</v>
      </c>
      <c r="D28" s="167">
        <v>-0.00442965</v>
      </c>
      <c r="E28" s="167">
        <v>0.2536472</v>
      </c>
      <c r="F28" s="167">
        <v>-0.08361456</v>
      </c>
      <c r="G28" s="167">
        <v>0.02937555</v>
      </c>
    </row>
    <row r="29" spans="1:7" ht="12.75">
      <c r="A29" s="166" t="s">
        <v>104</v>
      </c>
      <c r="B29" s="167">
        <v>-0.008707071</v>
      </c>
      <c r="C29" s="167">
        <v>0.03928581</v>
      </c>
      <c r="D29" s="167">
        <v>0.01536599</v>
      </c>
      <c r="E29" s="167">
        <v>0.08044955</v>
      </c>
      <c r="F29" s="167">
        <v>0.02286284</v>
      </c>
      <c r="G29" s="167">
        <v>0.03430815</v>
      </c>
    </row>
    <row r="30" spans="1:7" ht="12.75">
      <c r="A30" s="166" t="s">
        <v>106</v>
      </c>
      <c r="B30" s="167">
        <v>0.09170871</v>
      </c>
      <c r="C30" s="167">
        <v>0.07342396</v>
      </c>
      <c r="D30" s="167">
        <v>0.05597294</v>
      </c>
      <c r="E30" s="167">
        <v>-0.02427214</v>
      </c>
      <c r="F30" s="167">
        <v>0.296388</v>
      </c>
      <c r="G30" s="167">
        <v>0.07811374</v>
      </c>
    </row>
    <row r="31" spans="1:7" ht="12.75">
      <c r="A31" s="166" t="s">
        <v>108</v>
      </c>
      <c r="B31" s="167">
        <v>0.006620199</v>
      </c>
      <c r="C31" s="167">
        <v>0.02947754</v>
      </c>
      <c r="D31" s="167">
        <v>0.0199574</v>
      </c>
      <c r="E31" s="167">
        <v>0.03875708</v>
      </c>
      <c r="F31" s="167">
        <v>0.03184999</v>
      </c>
      <c r="G31" s="167">
        <v>0.02643351</v>
      </c>
    </row>
    <row r="32" spans="1:7" ht="12.75">
      <c r="A32" s="166" t="s">
        <v>110</v>
      </c>
      <c r="B32" s="167">
        <v>0.02651011</v>
      </c>
      <c r="C32" s="167">
        <v>-0.02245931</v>
      </c>
      <c r="D32" s="167">
        <v>0.01558108</v>
      </c>
      <c r="E32" s="167">
        <v>0.03650712</v>
      </c>
      <c r="F32" s="167">
        <v>0.005346522</v>
      </c>
      <c r="G32" s="167">
        <v>0.01167671</v>
      </c>
    </row>
    <row r="33" spans="1:7" ht="12.75">
      <c r="A33" s="166" t="s">
        <v>112</v>
      </c>
      <c r="B33" s="167">
        <v>0.06041705</v>
      </c>
      <c r="C33" s="167">
        <v>0.05268241</v>
      </c>
      <c r="D33" s="167">
        <v>0.04383233</v>
      </c>
      <c r="E33" s="167">
        <v>0.06948518</v>
      </c>
      <c r="F33" s="167">
        <v>0.07223767</v>
      </c>
      <c r="G33" s="167">
        <v>0.05832633</v>
      </c>
    </row>
    <row r="34" spans="1:7" ht="12.75">
      <c r="A34" s="166" t="s">
        <v>114</v>
      </c>
      <c r="B34" s="167">
        <v>0.009255783</v>
      </c>
      <c r="C34" s="167">
        <v>0.01776816</v>
      </c>
      <c r="D34" s="167">
        <v>0.01780278</v>
      </c>
      <c r="E34" s="167">
        <v>0.01063676</v>
      </c>
      <c r="F34" s="167">
        <v>-0.01342995</v>
      </c>
      <c r="G34" s="167">
        <v>0.01065758</v>
      </c>
    </row>
    <row r="35" spans="1:7" ht="12.75">
      <c r="A35" s="166" t="s">
        <v>116</v>
      </c>
      <c r="B35" s="167">
        <v>-0.003943559</v>
      </c>
      <c r="C35" s="167">
        <v>-0.002369701</v>
      </c>
      <c r="D35" s="167">
        <v>-0.00367351</v>
      </c>
      <c r="E35" s="167">
        <v>-0.005700952</v>
      </c>
      <c r="F35" s="167">
        <v>0.002784178</v>
      </c>
      <c r="G35" s="167">
        <v>-0.003024617</v>
      </c>
    </row>
    <row r="36" spans="1:6" ht="12.75">
      <c r="A36" s="166" t="s">
        <v>141</v>
      </c>
      <c r="B36" s="167">
        <v>15.69214</v>
      </c>
      <c r="C36" s="167">
        <v>15.70435</v>
      </c>
      <c r="D36" s="167">
        <v>15.73181</v>
      </c>
      <c r="E36" s="167">
        <v>15.75317</v>
      </c>
      <c r="F36" s="167">
        <v>15.78064</v>
      </c>
    </row>
    <row r="37" spans="1:6" ht="12.75">
      <c r="A37" s="166" t="s">
        <v>142</v>
      </c>
      <c r="B37" s="167">
        <v>-0.05900065</v>
      </c>
      <c r="C37" s="167">
        <v>-0.03916423</v>
      </c>
      <c r="D37" s="167">
        <v>-0.02848307</v>
      </c>
      <c r="E37" s="167">
        <v>-0.01881917</v>
      </c>
      <c r="F37" s="167">
        <v>-0.01068115</v>
      </c>
    </row>
    <row r="38" spans="1:7" ht="12.75">
      <c r="A38" s="166" t="s">
        <v>143</v>
      </c>
      <c r="B38" s="167">
        <v>-9.40108E-05</v>
      </c>
      <c r="C38" s="167">
        <v>-8.203447E-05</v>
      </c>
      <c r="D38" s="167">
        <v>1.005622E-05</v>
      </c>
      <c r="E38" s="167">
        <v>4.259956E-05</v>
      </c>
      <c r="F38" s="167">
        <v>0.0001536238</v>
      </c>
      <c r="G38" s="167">
        <v>0.0001509869</v>
      </c>
    </row>
    <row r="39" spans="1:7" ht="12.75">
      <c r="A39" s="166" t="s">
        <v>144</v>
      </c>
      <c r="B39" s="167">
        <v>2.070539E-05</v>
      </c>
      <c r="C39" s="167">
        <v>-6.16757E-05</v>
      </c>
      <c r="D39" s="167">
        <v>-0.0001212215</v>
      </c>
      <c r="E39" s="167">
        <v>3.316422E-05</v>
      </c>
      <c r="F39" s="167">
        <v>0.0002486844</v>
      </c>
      <c r="G39" s="167">
        <v>0.0005336168</v>
      </c>
    </row>
    <row r="40" spans="2:5" ht="12.75">
      <c r="B40" s="166" t="s">
        <v>145</v>
      </c>
      <c r="C40" s="166">
        <v>-0.00375</v>
      </c>
      <c r="D40" s="166" t="s">
        <v>146</v>
      </c>
      <c r="E40" s="166">
        <v>3.11617</v>
      </c>
    </row>
    <row r="42" ht="12.75">
      <c r="A42" s="166" t="s">
        <v>147</v>
      </c>
    </row>
    <row r="50" spans="1:7" ht="12.75">
      <c r="A50" s="166" t="s">
        <v>148</v>
      </c>
      <c r="B50" s="166">
        <f>-0.017/(B7*B7+B22*B22)*(B21*B22+B6*B7)</f>
        <v>-9.401080281449932E-05</v>
      </c>
      <c r="C50" s="166">
        <f>-0.017/(C7*C7+C22*C22)*(C21*C22+C6*C7)</f>
        <v>-8.203446223646554E-05</v>
      </c>
      <c r="D50" s="166">
        <f>-0.017/(D7*D7+D22*D22)*(D21*D22+D6*D7)</f>
        <v>1.0056218170928775E-05</v>
      </c>
      <c r="E50" s="166">
        <f>-0.017/(E7*E7+E22*E22)*(E21*E22+E6*E7)</f>
        <v>4.259955691751027E-05</v>
      </c>
      <c r="F50" s="166">
        <f>-0.017/(F7*F7+F22*F22)*(F21*F22+F6*F7)</f>
        <v>0.0001536237851200086</v>
      </c>
      <c r="G50" s="166">
        <f>(B50*B$4+C50*C$4+D50*D$4+E50*E$4+F50*F$4)/SUM(B$4:F$4)</f>
        <v>-1.5114485026025427E-07</v>
      </c>
    </row>
    <row r="51" spans="1:7" ht="12.75">
      <c r="A51" s="166" t="s">
        <v>149</v>
      </c>
      <c r="B51" s="166">
        <f>-0.017/(B7*B7+B22*B22)*(B21*B7-B6*B22)</f>
        <v>2.0705387592197713E-05</v>
      </c>
      <c r="C51" s="166">
        <f>-0.017/(C7*C7+C22*C22)*(C21*C7-C6*C22)</f>
        <v>-6.167569568698997E-05</v>
      </c>
      <c r="D51" s="166">
        <f>-0.017/(D7*D7+D22*D22)*(D21*D7-D6*D22)</f>
        <v>-0.00012122153642654031</v>
      </c>
      <c r="E51" s="166">
        <f>-0.017/(E7*E7+E22*E22)*(E21*E7-E6*E22)</f>
        <v>3.3164227272126414E-05</v>
      </c>
      <c r="F51" s="166">
        <f>-0.017/(F7*F7+F22*F22)*(F21*F7-F6*F22)</f>
        <v>0.0002486843464751215</v>
      </c>
      <c r="G51" s="166">
        <f>(B51*B$4+C51*C$4+D51*D$4+E51*E$4+F51*F$4)/SUM(B$4:F$4)</f>
        <v>1.6137776182811236E-07</v>
      </c>
    </row>
    <row r="58" ht="12.75">
      <c r="A58" s="166" t="s">
        <v>151</v>
      </c>
    </row>
    <row r="60" spans="2:6" ht="12.75">
      <c r="B60" s="166" t="s">
        <v>84</v>
      </c>
      <c r="C60" s="166" t="s">
        <v>85</v>
      </c>
      <c r="D60" s="166" t="s">
        <v>86</v>
      </c>
      <c r="E60" s="166" t="s">
        <v>87</v>
      </c>
      <c r="F60" s="166" t="s">
        <v>88</v>
      </c>
    </row>
    <row r="61" spans="1:6" ht="12.75">
      <c r="A61" s="166" t="s">
        <v>153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156</v>
      </c>
      <c r="B62" s="166">
        <f>B7+(2/0.017)*(B8*B50-B23*B51)</f>
        <v>10000.005320267202</v>
      </c>
      <c r="C62" s="166">
        <f>C7+(2/0.017)*(C8*C50-C23*C51)</f>
        <v>9999.982011213637</v>
      </c>
      <c r="D62" s="166">
        <f>D7+(2/0.017)*(D8*D50-D23*D51)</f>
        <v>9999.972665204063</v>
      </c>
      <c r="E62" s="166">
        <f>E7+(2/0.017)*(E8*E50-E23*E51)</f>
        <v>10000.000142894063</v>
      </c>
      <c r="F62" s="166">
        <f>F7+(2/0.017)*(F8*F50-F23*F51)</f>
        <v>9999.672517414454</v>
      </c>
    </row>
    <row r="63" spans="1:6" ht="12.75">
      <c r="A63" s="166" t="s">
        <v>157</v>
      </c>
      <c r="B63" s="166">
        <f>B8+(3/0.017)*(B9*B50-B24*B51)</f>
        <v>-1.0958522932196035</v>
      </c>
      <c r="C63" s="166">
        <f>C8+(3/0.017)*(C9*C50-C24*C51)</f>
        <v>0.8909476550885488</v>
      </c>
      <c r="D63" s="166">
        <f>D8+(3/0.017)*(D9*D50-D24*D51)</f>
        <v>-1.298173023225038</v>
      </c>
      <c r="E63" s="166">
        <f>E8+(3/0.017)*(E9*E50-E24*E51)</f>
        <v>-0.900158163289362</v>
      </c>
      <c r="F63" s="166">
        <f>F8+(3/0.017)*(F9*F50-F24*F51)</f>
        <v>-4.7817427192522315</v>
      </c>
    </row>
    <row r="64" spans="1:6" ht="12.75">
      <c r="A64" s="166" t="s">
        <v>158</v>
      </c>
      <c r="B64" s="166">
        <f>B9+(4/0.017)*(B10*B50-B25*B51)</f>
        <v>-0.07974083406593405</v>
      </c>
      <c r="C64" s="166">
        <f>C9+(4/0.017)*(C10*C50-C25*C51)</f>
        <v>0.5877358182795884</v>
      </c>
      <c r="D64" s="166">
        <f>D9+(4/0.017)*(D10*D50-D25*D51)</f>
        <v>0.06303990166810314</v>
      </c>
      <c r="E64" s="166">
        <f>E9+(4/0.017)*(E10*E50-E25*E51)</f>
        <v>0.4531578642042351</v>
      </c>
      <c r="F64" s="166">
        <f>F9+(4/0.017)*(F10*F50-F25*F51)</f>
        <v>-1.026296159065853</v>
      </c>
    </row>
    <row r="65" spans="1:6" ht="12.75">
      <c r="A65" s="166" t="s">
        <v>159</v>
      </c>
      <c r="B65" s="166">
        <f>B10+(5/0.017)*(B11*B50-B26*B51)</f>
        <v>-0.07560033259449041</v>
      </c>
      <c r="C65" s="166">
        <f>C10+(5/0.017)*(C11*C50-C26*C51)</f>
        <v>0.521370593098362</v>
      </c>
      <c r="D65" s="166">
        <f>D10+(5/0.017)*(D11*D50-D26*D51)</f>
        <v>0.5583773103195909</v>
      </c>
      <c r="E65" s="166">
        <f>E10+(5/0.017)*(E11*E50-E26*E51)</f>
        <v>0.8260612905013074</v>
      </c>
      <c r="F65" s="166">
        <f>F10+(5/0.017)*(F11*F50-F26*F51)</f>
        <v>-0.368531153713737</v>
      </c>
    </row>
    <row r="66" spans="1:6" ht="12.75">
      <c r="A66" s="166" t="s">
        <v>160</v>
      </c>
      <c r="B66" s="166">
        <f>B11+(6/0.017)*(B12*B50-B27*B51)</f>
        <v>3.7679132333005123</v>
      </c>
      <c r="C66" s="166">
        <f>C11+(6/0.017)*(C12*C50-C27*C51)</f>
        <v>3.1463187381836746</v>
      </c>
      <c r="D66" s="166">
        <f>D11+(6/0.017)*(D12*D50-D27*D51)</f>
        <v>3.065487896566836</v>
      </c>
      <c r="E66" s="166">
        <f>E11+(6/0.017)*(E12*E50-E27*E51)</f>
        <v>2.914433489445234</v>
      </c>
      <c r="F66" s="166">
        <f>F11+(6/0.017)*(F12*F50-F27*F51)</f>
        <v>14.223321882222502</v>
      </c>
    </row>
    <row r="67" spans="1:6" ht="12.75">
      <c r="A67" s="166" t="s">
        <v>161</v>
      </c>
      <c r="B67" s="166">
        <f>B12+(7/0.017)*(B13*B50-B28*B51)</f>
        <v>0.058996282730628645</v>
      </c>
      <c r="C67" s="166">
        <f>C12+(7/0.017)*(C13*C50-C28*C51)</f>
        <v>0.21678703225640827</v>
      </c>
      <c r="D67" s="166">
        <f>D12+(7/0.017)*(D13*D50-D28*D51)</f>
        <v>-0.24956208173298033</v>
      </c>
      <c r="E67" s="166">
        <f>E12+(7/0.017)*(E13*E50-E28*E51)</f>
        <v>-0.02433915386153779</v>
      </c>
      <c r="F67" s="166">
        <f>F12+(7/0.017)*(F13*F50-F28*F51)</f>
        <v>-0.5517556806372144</v>
      </c>
    </row>
    <row r="68" spans="1:6" ht="12.75">
      <c r="A68" s="166" t="s">
        <v>162</v>
      </c>
      <c r="B68" s="166">
        <f>B13+(8/0.017)*(B14*B50-B29*B51)</f>
        <v>-0.03708098024434434</v>
      </c>
      <c r="C68" s="166">
        <f>C13+(8/0.017)*(C14*C50-C29*C51)</f>
        <v>0.13872625667994543</v>
      </c>
      <c r="D68" s="166">
        <f>D13+(8/0.017)*(D14*D50-D29*D51)</f>
        <v>0.2029705730836274</v>
      </c>
      <c r="E68" s="166">
        <f>E13+(8/0.017)*(E14*E50-E29*E51)</f>
        <v>0.1434798806853724</v>
      </c>
      <c r="F68" s="166">
        <f>F13+(8/0.017)*(F14*F50-F29*F51)</f>
        <v>-0.055975557712096204</v>
      </c>
    </row>
    <row r="69" spans="1:6" ht="12.75">
      <c r="A69" s="166" t="s">
        <v>163</v>
      </c>
      <c r="B69" s="166">
        <f>B14+(9/0.017)*(B15*B50-B30*B51)</f>
        <v>-0.12048126302872816</v>
      </c>
      <c r="C69" s="166">
        <f>C14+(9/0.017)*(C15*C50-C30*C51)</f>
        <v>0.03480526147008431</v>
      </c>
      <c r="D69" s="166">
        <f>D14+(9/0.017)*(D15*D50-D30*D51)</f>
        <v>-0.07312018777832968</v>
      </c>
      <c r="E69" s="166">
        <f>E14+(9/0.017)*(E15*E50-E30*E51)</f>
        <v>0.01499065767510927</v>
      </c>
      <c r="F69" s="166">
        <f>F14+(9/0.017)*(F15*F50-F30*F51)</f>
        <v>-0.03342693397265187</v>
      </c>
    </row>
    <row r="70" spans="1:6" ht="12.75">
      <c r="A70" s="166" t="s">
        <v>164</v>
      </c>
      <c r="B70" s="166">
        <f>B15+(10/0.017)*(B16*B50-B31*B51)</f>
        <v>-0.37582865449071373</v>
      </c>
      <c r="C70" s="166">
        <f>C15+(10/0.017)*(C16*C50-C31*C51)</f>
        <v>-0.07970107701957412</v>
      </c>
      <c r="D70" s="166">
        <f>D15+(10/0.017)*(D16*D50-D31*D51)</f>
        <v>-0.09540726116073575</v>
      </c>
      <c r="E70" s="166">
        <f>E15+(10/0.017)*(E16*E50-E31*E51)</f>
        <v>-0.07973969571665647</v>
      </c>
      <c r="F70" s="166">
        <f>F15+(10/0.017)*(F16*F50-F31*F51)</f>
        <v>-0.3128833927982668</v>
      </c>
    </row>
    <row r="71" spans="1:6" ht="12.75">
      <c r="A71" s="166" t="s">
        <v>165</v>
      </c>
      <c r="B71" s="166">
        <f>B16+(11/0.017)*(B17*B50-B32*B51)</f>
        <v>0.04384927229950913</v>
      </c>
      <c r="C71" s="166">
        <f>C16+(11/0.017)*(C17*C50-C32*C51)</f>
        <v>0.0025326027406657185</v>
      </c>
      <c r="D71" s="166">
        <f>D16+(11/0.017)*(D17*D50-D32*D51)</f>
        <v>0.018621441033698463</v>
      </c>
      <c r="E71" s="166">
        <f>E16+(11/0.017)*(E17*E50-E32*E51)</f>
        <v>-0.005588694805888215</v>
      </c>
      <c r="F71" s="166">
        <f>F16+(11/0.017)*(F17*F50-F32*F51)</f>
        <v>-0.013503870276647414</v>
      </c>
    </row>
    <row r="72" spans="1:6" ht="12.75">
      <c r="A72" s="166" t="s">
        <v>166</v>
      </c>
      <c r="B72" s="166">
        <f>B17+(12/0.017)*(B18*B50-B33*B51)</f>
        <v>-0.007758165383771206</v>
      </c>
      <c r="C72" s="166">
        <f>C17+(12/0.017)*(C18*C50-C33*C51)</f>
        <v>-0.0154883590494467</v>
      </c>
      <c r="D72" s="166">
        <f>D17+(12/0.017)*(D18*D50-D33*D51)</f>
        <v>-0.005894552007472723</v>
      </c>
      <c r="E72" s="166">
        <f>E17+(12/0.017)*(E18*E50-E33*E51)</f>
        <v>-0.017253309019865343</v>
      </c>
      <c r="F72" s="166">
        <f>F17+(12/0.017)*(F18*F50-F33*F51)</f>
        <v>-0.006121410358488622</v>
      </c>
    </row>
    <row r="73" spans="1:6" ht="12.75">
      <c r="A73" s="166" t="s">
        <v>167</v>
      </c>
      <c r="B73" s="166">
        <f>B18+(13/0.017)*(B19*B50-B34*B51)</f>
        <v>0.005026947546779761</v>
      </c>
      <c r="C73" s="166">
        <f>C18+(13/0.017)*(C19*C50-C34*C51)</f>
        <v>0.013257416759420453</v>
      </c>
      <c r="D73" s="166">
        <f>D18+(13/0.017)*(D19*D50-D34*D51)</f>
        <v>0.01982233047927474</v>
      </c>
      <c r="E73" s="166">
        <f>E18+(13/0.017)*(E19*E50-E34*E51)</f>
        <v>0.014011939462070624</v>
      </c>
      <c r="F73" s="166">
        <f>F18+(13/0.017)*(F19*F50-F34*F51)</f>
        <v>-0.007174715837492349</v>
      </c>
    </row>
    <row r="74" spans="1:6" ht="12.75">
      <c r="A74" s="166" t="s">
        <v>168</v>
      </c>
      <c r="B74" s="166">
        <f>B19+(14/0.017)*(B20*B50-B35*B51)</f>
        <v>-0.18912565658834105</v>
      </c>
      <c r="C74" s="166">
        <f>C19+(14/0.017)*(C20*C50-C35*C51)</f>
        <v>-0.16779860191850837</v>
      </c>
      <c r="D74" s="166">
        <f>D19+(14/0.017)*(D20*D50-D35*D51)</f>
        <v>-0.1664920552082607</v>
      </c>
      <c r="E74" s="166">
        <f>E19+(14/0.017)*(E20*E50-E35*E51)</f>
        <v>-0.1694849826526421</v>
      </c>
      <c r="F74" s="166">
        <f>F19+(14/0.017)*(F20*F50-F35*F51)</f>
        <v>-0.13353098479231507</v>
      </c>
    </row>
    <row r="75" spans="1:6" ht="12.75">
      <c r="A75" s="166" t="s">
        <v>169</v>
      </c>
      <c r="B75" s="167">
        <f>B20</f>
        <v>0.004197848</v>
      </c>
      <c r="C75" s="167">
        <f>C20</f>
        <v>-0.001657238</v>
      </c>
      <c r="D75" s="167">
        <f>D20</f>
        <v>0.004778002</v>
      </c>
      <c r="E75" s="167">
        <f>E20</f>
        <v>5.74244E-05</v>
      </c>
      <c r="F75" s="167">
        <f>F20</f>
        <v>0.001444205</v>
      </c>
    </row>
    <row r="78" ht="12.75">
      <c r="A78" s="166" t="s">
        <v>151</v>
      </c>
    </row>
    <row r="80" spans="2:6" ht="12.75">
      <c r="B80" s="166" t="s">
        <v>84</v>
      </c>
      <c r="C80" s="166" t="s">
        <v>85</v>
      </c>
      <c r="D80" s="166" t="s">
        <v>86</v>
      </c>
      <c r="E80" s="166" t="s">
        <v>87</v>
      </c>
      <c r="F80" s="166" t="s">
        <v>88</v>
      </c>
    </row>
    <row r="81" spans="1:6" ht="12.75">
      <c r="A81" s="166" t="s">
        <v>170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171</v>
      </c>
      <c r="B82" s="166">
        <f>B22+(2/0.017)*(B8*B51+B23*B50)</f>
        <v>38.98088005969308</v>
      </c>
      <c r="C82" s="166">
        <f>C22+(2/0.017)*(C8*C51+C23*C50)</f>
        <v>5.878320064256329</v>
      </c>
      <c r="D82" s="166">
        <f>D22+(2/0.017)*(D8*D51+D23*D50)</f>
        <v>-2.6274241057502863</v>
      </c>
      <c r="E82" s="166">
        <f>E22+(2/0.017)*(E8*E51+E23*E50)</f>
        <v>-0.6793726491070968</v>
      </c>
      <c r="F82" s="166">
        <f>F22+(2/0.017)*(F8*F51+F23*F50)</f>
        <v>-47.297204806899224</v>
      </c>
    </row>
    <row r="83" spans="1:6" ht="12.75">
      <c r="A83" s="166" t="s">
        <v>172</v>
      </c>
      <c r="B83" s="166">
        <f>B23+(3/0.017)*(B9*B51+B24*B50)</f>
        <v>2.727542805013419</v>
      </c>
      <c r="C83" s="166">
        <f>C23+(3/0.017)*(C9*C51+C24*C50)</f>
        <v>-1.2598479354960808</v>
      </c>
      <c r="D83" s="166">
        <f>D23+(3/0.017)*(D9*D51+D24*D50)</f>
        <v>-1.8117702821637842</v>
      </c>
      <c r="E83" s="166">
        <f>E23+(3/0.017)*(E9*E51+E24*E50)</f>
        <v>-1.1508113960903728</v>
      </c>
      <c r="F83" s="166">
        <f>F23+(3/0.017)*(F9*F51+F24*F50)</f>
        <v>8.230887271886466</v>
      </c>
    </row>
    <row r="84" spans="1:6" ht="12.75">
      <c r="A84" s="166" t="s">
        <v>173</v>
      </c>
      <c r="B84" s="166">
        <f>B24+(4/0.017)*(B10*B51+B25*B50)</f>
        <v>2.1107354548720316</v>
      </c>
      <c r="C84" s="166">
        <f>C24+(4/0.017)*(C10*C51+C25*C50)</f>
        <v>-1.0073134071937904</v>
      </c>
      <c r="D84" s="166">
        <f>D24+(4/0.017)*(D10*D51+D25*D50)</f>
        <v>-0.30564252990767493</v>
      </c>
      <c r="E84" s="166">
        <f>E24+(4/0.017)*(E10*E51+E25*E50)</f>
        <v>2.9112626385115368</v>
      </c>
      <c r="F84" s="166">
        <f>F24+(4/0.017)*(F10*F51+F25*F50)</f>
        <v>0.27090236822973607</v>
      </c>
    </row>
    <row r="85" spans="1:6" ht="12.75">
      <c r="A85" s="166" t="s">
        <v>174</v>
      </c>
      <c r="B85" s="166">
        <f>B25+(5/0.017)*(B11*B51+B26*B50)</f>
        <v>-0.35258849590624963</v>
      </c>
      <c r="C85" s="166">
        <f>C25+(5/0.017)*(C11*C51+C26*C50)</f>
        <v>-0.5734314677650529</v>
      </c>
      <c r="D85" s="166">
        <f>D25+(5/0.017)*(D11*D51+D26*D50)</f>
        <v>-0.8053129041694189</v>
      </c>
      <c r="E85" s="166">
        <f>E25+(5/0.017)*(E11*E51+E26*E50)</f>
        <v>-0.432384058679469</v>
      </c>
      <c r="F85" s="166">
        <f>F25+(5/0.017)*(F11*F51+F26*F50)</f>
        <v>-1.3588392074657276</v>
      </c>
    </row>
    <row r="86" spans="1:6" ht="12.75">
      <c r="A86" s="166" t="s">
        <v>175</v>
      </c>
      <c r="B86" s="166">
        <f>B26+(6/0.017)*(B12*B51+B27*B50)</f>
        <v>0.8183087268387149</v>
      </c>
      <c r="C86" s="166">
        <f>C26+(6/0.017)*(C12*C51+C27*C50)</f>
        <v>0.12206977113674505</v>
      </c>
      <c r="D86" s="166">
        <f>D26+(6/0.017)*(D12*D51+D27*D50)</f>
        <v>0.3842203234002718</v>
      </c>
      <c r="E86" s="166">
        <f>E26+(6/0.017)*(E12*E51+E27*E50)</f>
        <v>0.23842734219130796</v>
      </c>
      <c r="F86" s="166">
        <f>F26+(6/0.017)*(F12*F51+F27*F50)</f>
        <v>1.6095094785440536</v>
      </c>
    </row>
    <row r="87" spans="1:6" ht="12.75">
      <c r="A87" s="166" t="s">
        <v>176</v>
      </c>
      <c r="B87" s="166">
        <f>B27+(7/0.017)*(B13*B51+B28*B50)</f>
        <v>0.40677657786551935</v>
      </c>
      <c r="C87" s="166">
        <f>C27+(7/0.017)*(C13*C51+C28*C50)</f>
        <v>0.30725254572131494</v>
      </c>
      <c r="D87" s="166">
        <f>D27+(7/0.017)*(D13*D51+D28*D50)</f>
        <v>0.19209738691952408</v>
      </c>
      <c r="E87" s="166">
        <f>E27+(7/0.017)*(E13*E51+E28*E50)</f>
        <v>0.4385914364721791</v>
      </c>
      <c r="F87" s="166">
        <f>F27+(7/0.017)*(F13*F51+F28*F50)</f>
        <v>0.4795988512467183</v>
      </c>
    </row>
    <row r="88" spans="1:6" ht="12.75">
      <c r="A88" s="166" t="s">
        <v>177</v>
      </c>
      <c r="B88" s="166">
        <f>B28+(8/0.017)*(B14*B51+B29*B50)</f>
        <v>0.293333119412552</v>
      </c>
      <c r="C88" s="166">
        <f>C28+(8/0.017)*(C14*C51+C29*C50)</f>
        <v>-0.25995134729368874</v>
      </c>
      <c r="D88" s="166">
        <f>D28+(8/0.017)*(D14*D51+D29*D50)</f>
        <v>-1.0285179862078858E-05</v>
      </c>
      <c r="E88" s="166">
        <f>E28+(8/0.017)*(E14*E51+E29*E50)</f>
        <v>0.2555150254563372</v>
      </c>
      <c r="F88" s="166">
        <f>F28+(8/0.017)*(F14*F51+F29*F50)</f>
        <v>-0.07838474806020838</v>
      </c>
    </row>
    <row r="89" spans="1:6" ht="12.75">
      <c r="A89" s="166" t="s">
        <v>178</v>
      </c>
      <c r="B89" s="166">
        <f>B29+(9/0.017)*(B15*B51+B30*B50)</f>
        <v>-0.017363758452650764</v>
      </c>
      <c r="C89" s="166">
        <f>C29+(9/0.017)*(C15*C51+C30*C50)</f>
        <v>0.03873038798091526</v>
      </c>
      <c r="D89" s="166">
        <f>D29+(9/0.017)*(D15*D51+D30*D50)</f>
        <v>0.021884808213917976</v>
      </c>
      <c r="E89" s="166">
        <f>E29+(9/0.017)*(E15*E51+E30*E50)</f>
        <v>0.07851730773923932</v>
      </c>
      <c r="F89" s="166">
        <f>F29+(9/0.017)*(F15*F51+F30*F50)</f>
        <v>0.006545874174806496</v>
      </c>
    </row>
    <row r="90" spans="1:6" ht="12.75">
      <c r="A90" s="166" t="s">
        <v>179</v>
      </c>
      <c r="B90" s="166">
        <f>B30+(10/0.017)*(B16*B51+B31*B50)</f>
        <v>0.09187549712162844</v>
      </c>
      <c r="C90" s="166">
        <f>C30+(10/0.017)*(C16*C51+C31*C50)</f>
        <v>0.07191113739305947</v>
      </c>
      <c r="D90" s="166">
        <f>D30+(10/0.017)*(D16*D51+D31*D50)</f>
        <v>0.05484576889809958</v>
      </c>
      <c r="E90" s="166">
        <f>E30+(10/0.017)*(E16*E51+E31*E50)</f>
        <v>-0.023385963144844344</v>
      </c>
      <c r="F90" s="166">
        <f>F30+(10/0.017)*(F16*F51+F31*F50)</f>
        <v>0.29733056883742026</v>
      </c>
    </row>
    <row r="91" spans="1:6" ht="12.75">
      <c r="A91" s="166" t="s">
        <v>180</v>
      </c>
      <c r="B91" s="166">
        <f>B31+(11/0.017)*(B17*B51+B32*B50)</f>
        <v>0.004907992831815446</v>
      </c>
      <c r="C91" s="166">
        <f>C31+(11/0.017)*(C17*C51+C32*C50)</f>
        <v>0.03137496725857064</v>
      </c>
      <c r="D91" s="166">
        <f>D31+(11/0.017)*(D17*D51+D32*D50)</f>
        <v>0.020826160276386136</v>
      </c>
      <c r="E91" s="166">
        <f>E31+(11/0.017)*(E17*E51+E32*E50)</f>
        <v>0.03941526009781767</v>
      </c>
      <c r="F91" s="166">
        <f>F31+(11/0.017)*(F17*F51+F32*F50)</f>
        <v>0.033333765244581426</v>
      </c>
    </row>
    <row r="92" spans="1:6" ht="12.75">
      <c r="A92" s="166" t="s">
        <v>181</v>
      </c>
      <c r="B92" s="166">
        <f>B32+(12/0.017)*(B18*B51+B33*B50)</f>
        <v>0.022377966269915426</v>
      </c>
      <c r="C92" s="166">
        <f>C32+(12/0.017)*(C18*C51+C33*C50)</f>
        <v>-0.02559241055922122</v>
      </c>
      <c r="D92" s="166">
        <f>D32+(12/0.017)*(D18*D51+D33*D50)</f>
        <v>0.014227936545756048</v>
      </c>
      <c r="E92" s="166">
        <f>E32+(12/0.017)*(E18*E51+E33*E50)</f>
        <v>0.03906026463115745</v>
      </c>
      <c r="F92" s="166">
        <f>F32+(12/0.017)*(F18*F51+F33*F50)</f>
        <v>0.014217908013688215</v>
      </c>
    </row>
    <row r="93" spans="1:6" ht="12.75">
      <c r="A93" s="166" t="s">
        <v>182</v>
      </c>
      <c r="B93" s="166">
        <f>B33+(13/0.017)*(B19*B51+B34*B50)</f>
        <v>0.056761200198323175</v>
      </c>
      <c r="C93" s="166">
        <f>C33+(13/0.017)*(C19*C51+C34*C50)</f>
        <v>0.05948139154300354</v>
      </c>
      <c r="D93" s="166">
        <f>D33+(13/0.017)*(D19*D51+D34*D50)</f>
        <v>0.05937252473721113</v>
      </c>
      <c r="E93" s="166">
        <f>E33+(13/0.017)*(E19*E51+E34*E50)</f>
        <v>0.06552939639219703</v>
      </c>
      <c r="F93" s="166">
        <f>F33+(13/0.017)*(F19*F51+F34*F50)</f>
        <v>0.04534000926514846</v>
      </c>
    </row>
    <row r="94" spans="1:6" ht="12.75">
      <c r="A94" s="166" t="s">
        <v>183</v>
      </c>
      <c r="B94" s="166">
        <f>B34+(14/0.017)*(B20*B51+B35*B50)</f>
        <v>0.009632675532000746</v>
      </c>
      <c r="C94" s="166">
        <f>C34+(14/0.017)*(C20*C51+C35*C50)</f>
        <v>0.018012425785453638</v>
      </c>
      <c r="D94" s="166">
        <f>D34+(14/0.017)*(D20*D51+D35*D50)</f>
        <v>0.01729537193758645</v>
      </c>
      <c r="E94" s="166">
        <f>E34+(14/0.017)*(E20*E51+E35*E50)</f>
        <v>0.010438327629001412</v>
      </c>
      <c r="F94" s="166">
        <f>F34+(14/0.017)*(F20*F51+F35*F50)</f>
        <v>-0.012781941767545563</v>
      </c>
    </row>
    <row r="95" spans="1:6" ht="12.75">
      <c r="A95" s="166" t="s">
        <v>184</v>
      </c>
      <c r="B95" s="167">
        <f>B35</f>
        <v>-0.003943559</v>
      </c>
      <c r="C95" s="167">
        <f>C35</f>
        <v>-0.002369701</v>
      </c>
      <c r="D95" s="167">
        <f>D35</f>
        <v>-0.00367351</v>
      </c>
      <c r="E95" s="167">
        <f>E35</f>
        <v>-0.005700952</v>
      </c>
      <c r="F95" s="167">
        <f>F35</f>
        <v>0.002784178</v>
      </c>
    </row>
    <row r="98" ht="12.75">
      <c r="A98" s="166" t="s">
        <v>152</v>
      </c>
    </row>
    <row r="100" spans="2:11" ht="12.75">
      <c r="B100" s="166" t="s">
        <v>84</v>
      </c>
      <c r="C100" s="166" t="s">
        <v>85</v>
      </c>
      <c r="D100" s="166" t="s">
        <v>86</v>
      </c>
      <c r="E100" s="166" t="s">
        <v>87</v>
      </c>
      <c r="F100" s="166" t="s">
        <v>88</v>
      </c>
      <c r="G100" s="166" t="s">
        <v>154</v>
      </c>
      <c r="H100" s="166" t="s">
        <v>155</v>
      </c>
      <c r="I100" s="166" t="s">
        <v>150</v>
      </c>
      <c r="K100" s="166" t="s">
        <v>185</v>
      </c>
    </row>
    <row r="101" spans="1:9" ht="12.75">
      <c r="A101" s="166" t="s">
        <v>153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156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</v>
      </c>
    </row>
    <row r="103" spans="1:11" ht="12.75">
      <c r="A103" s="166" t="s">
        <v>157</v>
      </c>
      <c r="B103" s="166">
        <f>B63*10000/B62</f>
        <v>-1.0958517101972123</v>
      </c>
      <c r="C103" s="166">
        <f>C63*10000/C62</f>
        <v>0.8909492577981346</v>
      </c>
      <c r="D103" s="166">
        <f>D63*10000/D62</f>
        <v>-1.2981765717642058</v>
      </c>
      <c r="E103" s="166">
        <f>E63*10000/E62</f>
        <v>-0.9001581504266364</v>
      </c>
      <c r="F103" s="166">
        <f>F63*10000/F62</f>
        <v>-4.781899318127484</v>
      </c>
      <c r="G103" s="166">
        <f>AVERAGE(C103:E103)</f>
        <v>-0.43579515479756914</v>
      </c>
      <c r="H103" s="166">
        <f>STDEV(C103:E103)</f>
        <v>1.1661015042424274</v>
      </c>
      <c r="I103" s="166">
        <f>(B103*B4+C103*C4+D103*D4+E103*E4+F103*F4)/SUM(B4:F4)</f>
        <v>-1.1113282811096963</v>
      </c>
      <c r="K103" s="166">
        <f>(LN(H103)+LN(H123))/2-LN(K114*K115^3)</f>
        <v>-4.320452435202367</v>
      </c>
    </row>
    <row r="104" spans="1:11" ht="12.75">
      <c r="A104" s="166" t="s">
        <v>158</v>
      </c>
      <c r="B104" s="166">
        <f>B64*10000/B62</f>
        <v>-0.0797407916417022</v>
      </c>
      <c r="C104" s="166">
        <f>C64*10000/C62</f>
        <v>0.5877368755468976</v>
      </c>
      <c r="D104" s="166">
        <f>D64*10000/D62</f>
        <v>0.06304007398685897</v>
      </c>
      <c r="E104" s="166">
        <f>E64*10000/E62</f>
        <v>0.45315785772887834</v>
      </c>
      <c r="F104" s="166">
        <f>F64*10000/F62</f>
        <v>-1.0263297695785094</v>
      </c>
      <c r="G104" s="166">
        <f>AVERAGE(C104:E104)</f>
        <v>0.367978269087545</v>
      </c>
      <c r="H104" s="166">
        <f>STDEV(C104:E104)</f>
        <v>0.27252221034745716</v>
      </c>
      <c r="I104" s="166">
        <f>(B104*B4+C104*C4+D104*D4+E104*E4+F104*F4)/SUM(B4:F4)</f>
        <v>0.11715232036842828</v>
      </c>
      <c r="K104" s="166">
        <f>(LN(H104)+LN(H124))/2-LN(K114*K115^4)</f>
        <v>-3.5687926898524576</v>
      </c>
    </row>
    <row r="105" spans="1:11" ht="12.75">
      <c r="A105" s="166" t="s">
        <v>159</v>
      </c>
      <c r="B105" s="166">
        <f>B65*10000/B62</f>
        <v>-0.0756002923731148</v>
      </c>
      <c r="C105" s="166">
        <f>C65*10000/C62</f>
        <v>0.5213715309824706</v>
      </c>
      <c r="D105" s="166">
        <f>D65*10000/D62</f>
        <v>0.5583788366367465</v>
      </c>
      <c r="E105" s="166">
        <f>E65*10000/E62</f>
        <v>0.826061278697382</v>
      </c>
      <c r="F105" s="166">
        <f>F65*10000/F62</f>
        <v>-0.36854322286248786</v>
      </c>
      <c r="G105" s="166">
        <f>AVERAGE(C105:E105)</f>
        <v>0.6352705487721997</v>
      </c>
      <c r="H105" s="166">
        <f>STDEV(C105:E105)</f>
        <v>0.1662624796428385</v>
      </c>
      <c r="I105" s="166">
        <f>(B105*B4+C105*C4+D105*D4+E105*E4+F105*F4)/SUM(B4:F4)</f>
        <v>0.3985247116919569</v>
      </c>
      <c r="K105" s="166">
        <f>(LN(H105)+LN(H125))/2-LN(K114*K115^5)</f>
        <v>-4.427877482583186</v>
      </c>
    </row>
    <row r="106" spans="1:11" ht="12.75">
      <c r="A106" s="166" t="s">
        <v>160</v>
      </c>
      <c r="B106" s="166">
        <f>B66*10000/B62</f>
        <v>3.767911228671059</v>
      </c>
      <c r="C106" s="166">
        <f>C66*10000/C62</f>
        <v>3.1463243980394173</v>
      </c>
      <c r="D106" s="166">
        <f>D66*10000/D62</f>
        <v>3.065496276038351</v>
      </c>
      <c r="E106" s="166">
        <f>E66*10000/E62</f>
        <v>2.91443344779971</v>
      </c>
      <c r="F106" s="166">
        <f>F66*10000/F62</f>
        <v>14.223787686499286</v>
      </c>
      <c r="G106" s="166">
        <f>AVERAGE(C106:E106)</f>
        <v>3.0420847072924926</v>
      </c>
      <c r="H106" s="166">
        <f>STDEV(C106:E106)</f>
        <v>0.11770484001996245</v>
      </c>
      <c r="I106" s="166">
        <f>(B106*B4+C106*C4+D106*D4+E106*E4+F106*F4)/SUM(B4:F4)</f>
        <v>4.639702325630592</v>
      </c>
      <c r="K106" s="166">
        <f>(LN(H106)+LN(H126))/2-LN(K114*K115^6)</f>
        <v>-4.189341135813562</v>
      </c>
    </row>
    <row r="107" spans="1:11" ht="12.75">
      <c r="A107" s="166" t="s">
        <v>161</v>
      </c>
      <c r="B107" s="166">
        <f>B67*10000/B62</f>
        <v>0.05899625134304654</v>
      </c>
      <c r="C107" s="166">
        <f>C67*10000/C62</f>
        <v>0.21678742223067077</v>
      </c>
      <c r="D107" s="166">
        <f>D67*10000/D62</f>
        <v>-0.24956276390770282</v>
      </c>
      <c r="E107" s="166">
        <f>E67*10000/E62</f>
        <v>-0.02433915351374574</v>
      </c>
      <c r="F107" s="166">
        <f>F67*10000/F62</f>
        <v>-0.5517737502666518</v>
      </c>
      <c r="G107" s="166">
        <f>AVERAGE(C107:E107)</f>
        <v>-0.0190381650635926</v>
      </c>
      <c r="H107" s="166">
        <f>STDEV(C107:E107)</f>
        <v>0.23322028082209192</v>
      </c>
      <c r="I107" s="166">
        <f>(B107*B4+C107*C4+D107*D4+E107*E4+F107*F4)/SUM(B4:F4)</f>
        <v>-0.07886269409740093</v>
      </c>
      <c r="K107" s="166">
        <f>(LN(H107)+LN(H127))/2-LN(K114*K115^7)</f>
        <v>-3.287609428841482</v>
      </c>
    </row>
    <row r="108" spans="1:9" ht="12.75">
      <c r="A108" s="166" t="s">
        <v>162</v>
      </c>
      <c r="B108" s="166">
        <f>B68*10000/B62</f>
        <v>-0.037080960516282534</v>
      </c>
      <c r="C108" s="166">
        <f>C68*10000/C62</f>
        <v>0.1387265062320938</v>
      </c>
      <c r="D108" s="166">
        <f>D68*10000/D62</f>
        <v>0.2029711279010636</v>
      </c>
      <c r="E108" s="166">
        <f>E68*10000/E62</f>
        <v>0.14347987863513012</v>
      </c>
      <c r="F108" s="166">
        <f>F68*10000/F62</f>
        <v>-0.05597739087416576</v>
      </c>
      <c r="G108" s="166">
        <f>AVERAGE(C108:E108)</f>
        <v>0.16172583758942918</v>
      </c>
      <c r="H108" s="166">
        <f>STDEV(C108:E108)</f>
        <v>0.03579845132081466</v>
      </c>
      <c r="I108" s="166">
        <f>(B108*B4+C108*C4+D108*D4+E108*E4+F108*F4)/SUM(B4:F4)</f>
        <v>0.10392615401143986</v>
      </c>
    </row>
    <row r="109" spans="1:9" ht="12.75">
      <c r="A109" s="166" t="s">
        <v>163</v>
      </c>
      <c r="B109" s="166">
        <f>B69*10000/B62</f>
        <v>-0.12048119892951104</v>
      </c>
      <c r="C109" s="166">
        <f>C69*10000/C62</f>
        <v>0.03480532408063823</v>
      </c>
      <c r="D109" s="166">
        <f>D69*10000/D62</f>
        <v>-0.0731203876514172</v>
      </c>
      <c r="E109" s="166">
        <f>E69*10000/E62</f>
        <v>0.014990657460901675</v>
      </c>
      <c r="F109" s="166">
        <f>F69*10000/F62</f>
        <v>-0.03342802868237813</v>
      </c>
      <c r="G109" s="166">
        <f>AVERAGE(C109:E109)</f>
        <v>-0.007774802036625767</v>
      </c>
      <c r="H109" s="166">
        <f>STDEV(C109:E109)</f>
        <v>0.0574516268074095</v>
      </c>
      <c r="I109" s="166">
        <f>(B109*B4+C109*C4+D109*D4+E109*E4+F109*F4)/SUM(B4:F4)</f>
        <v>-0.02748522958558462</v>
      </c>
    </row>
    <row r="110" spans="1:11" ht="12.75">
      <c r="A110" s="166" t="s">
        <v>164</v>
      </c>
      <c r="B110" s="166">
        <f>B70*10000/B62</f>
        <v>-0.3758284545399337</v>
      </c>
      <c r="C110" s="166">
        <f>C70*10000/C62</f>
        <v>-0.07970122039239677</v>
      </c>
      <c r="D110" s="166">
        <f>D70*10000/D62</f>
        <v>-0.09540752195525011</v>
      </c>
      <c r="E110" s="166">
        <f>E70*10000/E62</f>
        <v>-0.07973969457722357</v>
      </c>
      <c r="F110" s="166">
        <f>F70*10000/F62</f>
        <v>-0.31289363952007393</v>
      </c>
      <c r="G110" s="166">
        <f>AVERAGE(C110:E110)</f>
        <v>-0.08494947897495682</v>
      </c>
      <c r="H110" s="166">
        <f>STDEV(C110:E110)</f>
        <v>0.009056951324754299</v>
      </c>
      <c r="I110" s="166">
        <f>(B110*B4+C110*C4+D110*D4+E110*E4+F110*F4)/SUM(B4:F4)</f>
        <v>-0.15742062003542734</v>
      </c>
      <c r="K110" s="166">
        <f>EXP(AVERAGE(K103:K107))</f>
        <v>0.019085724448407407</v>
      </c>
    </row>
    <row r="111" spans="1:9" ht="12.75">
      <c r="A111" s="166" t="s">
        <v>165</v>
      </c>
      <c r="B111" s="166">
        <f>B71*10000/B62</f>
        <v>0.04384924897053701</v>
      </c>
      <c r="C111" s="166">
        <f>C71*10000/C62</f>
        <v>0.0025326072965188785</v>
      </c>
      <c r="D111" s="166">
        <f>D71*10000/D62</f>
        <v>0.018621491935166674</v>
      </c>
      <c r="E111" s="166">
        <f>E71*10000/E62</f>
        <v>-0.005588694726029085</v>
      </c>
      <c r="F111" s="166">
        <f>F71*10000/F62</f>
        <v>-0.013504312519365399</v>
      </c>
      <c r="G111" s="166">
        <f>AVERAGE(C111:E111)</f>
        <v>0.005188468168552156</v>
      </c>
      <c r="H111" s="166">
        <f>STDEV(C111:E111)</f>
        <v>0.012321667187161942</v>
      </c>
      <c r="I111" s="166">
        <f>(B111*B4+C111*C4+D111*D4+E111*E4+F111*F4)/SUM(B4:F4)</f>
        <v>0.008280032350018993</v>
      </c>
    </row>
    <row r="112" spans="1:9" ht="12.75">
      <c r="A112" s="166" t="s">
        <v>166</v>
      </c>
      <c r="B112" s="166">
        <f>B72*10000/B62</f>
        <v>-0.007758161256222117</v>
      </c>
      <c r="C112" s="166">
        <f>C72*10000/C62</f>
        <v>-0.015488386911175026</v>
      </c>
      <c r="D112" s="166">
        <f>D72*10000/D62</f>
        <v>-0.005894568120154393</v>
      </c>
      <c r="E112" s="166">
        <f>E72*10000/E62</f>
        <v>-0.017253308773325805</v>
      </c>
      <c r="F112" s="166">
        <f>F72*10000/F62</f>
        <v>-0.006121610830582873</v>
      </c>
      <c r="G112" s="166">
        <f>AVERAGE(C112:E112)</f>
        <v>-0.01287875460155174</v>
      </c>
      <c r="H112" s="166">
        <f>STDEV(C112:E112)</f>
        <v>0.006112518539855286</v>
      </c>
      <c r="I112" s="166">
        <f>(B112*B4+C112*C4+D112*D4+E112*E4+F112*F4)/SUM(B4:F4)</f>
        <v>-0.011237046683522336</v>
      </c>
    </row>
    <row r="113" spans="1:9" ht="12.75">
      <c r="A113" s="166" t="s">
        <v>167</v>
      </c>
      <c r="B113" s="166">
        <f>B73*10000/B62</f>
        <v>0.005026944872310767</v>
      </c>
      <c r="C113" s="166">
        <f>C73*10000/C62</f>
        <v>0.013257440607947136</v>
      </c>
      <c r="D113" s="166">
        <f>D73*10000/D62</f>
        <v>0.019822384663358717</v>
      </c>
      <c r="E113" s="166">
        <f>E73*10000/E62</f>
        <v>0.01401193926184833</v>
      </c>
      <c r="F113" s="166">
        <f>F73*10000/F62</f>
        <v>-0.007174950804636415</v>
      </c>
      <c r="G113" s="166">
        <f>AVERAGE(C113:E113)</f>
        <v>0.015697254844384726</v>
      </c>
      <c r="H113" s="166">
        <f>STDEV(C113:E113)</f>
        <v>0.0035923305906090997</v>
      </c>
      <c r="I113" s="166">
        <f>(B113*B4+C113*C4+D113*D4+E113*E4+F113*F4)/SUM(B4:F4)</f>
        <v>0.011101410486712341</v>
      </c>
    </row>
    <row r="114" spans="1:11" ht="12.75">
      <c r="A114" s="166" t="s">
        <v>168</v>
      </c>
      <c r="B114" s="166">
        <f>B74*10000/B62</f>
        <v>-0.1891255559684918</v>
      </c>
      <c r="C114" s="166">
        <f>C74*10000/C62</f>
        <v>-0.16779890376837156</v>
      </c>
      <c r="D114" s="166">
        <f>D74*10000/D62</f>
        <v>-0.16649251031214013</v>
      </c>
      <c r="E114" s="166">
        <f>E74*10000/E62</f>
        <v>-0.16948498023080236</v>
      </c>
      <c r="F114" s="166">
        <f>F74*10000/F62</f>
        <v>-0.1335353578427399</v>
      </c>
      <c r="G114" s="166">
        <f>AVERAGE(C114:E114)</f>
        <v>-0.16792546477043802</v>
      </c>
      <c r="H114" s="166">
        <f>STDEV(C114:E114)</f>
        <v>0.001500244086462155</v>
      </c>
      <c r="I114" s="166">
        <f>(B114*B4+C114*C4+D114*D4+E114*E4+F114*F4)/SUM(B4:F4)</f>
        <v>-0.16639877302554765</v>
      </c>
      <c r="J114" s="166" t="s">
        <v>186</v>
      </c>
      <c r="K114" s="166">
        <v>285</v>
      </c>
    </row>
    <row r="115" spans="1:11" ht="12.75">
      <c r="A115" s="166" t="s">
        <v>169</v>
      </c>
      <c r="B115" s="166">
        <f>B75*10000/B62</f>
        <v>0.004197845766633884</v>
      </c>
      <c r="C115" s="166">
        <f>C75*10000/C62</f>
        <v>-0.0016572409811753963</v>
      </c>
      <c r="D115" s="166">
        <f>D75*10000/D62</f>
        <v>0.004778015060606666</v>
      </c>
      <c r="E115" s="166">
        <f>E75*10000/E62</f>
        <v>5.7424399179439426E-05</v>
      </c>
      <c r="F115" s="166">
        <f>F75*10000/F62</f>
        <v>0.001444252296747632</v>
      </c>
      <c r="G115" s="166">
        <f>AVERAGE(C115:E115)</f>
        <v>0.0010593994928702365</v>
      </c>
      <c r="H115" s="166">
        <f>STDEV(C115:E115)</f>
        <v>0.00333258092881563</v>
      </c>
      <c r="I115" s="166">
        <f>(B115*B4+C115*C4+D115*D4+E115*E4+F115*F4)/SUM(B4:F4)</f>
        <v>0.0015641524756706334</v>
      </c>
      <c r="J115" s="166" t="s">
        <v>187</v>
      </c>
      <c r="K115" s="166">
        <v>0.5536</v>
      </c>
    </row>
    <row r="118" ht="12.75">
      <c r="A118" s="166" t="s">
        <v>152</v>
      </c>
    </row>
    <row r="120" spans="2:9" ht="12.75">
      <c r="B120" s="166" t="s">
        <v>84</v>
      </c>
      <c r="C120" s="166" t="s">
        <v>85</v>
      </c>
      <c r="D120" s="166" t="s">
        <v>86</v>
      </c>
      <c r="E120" s="166" t="s">
        <v>87</v>
      </c>
      <c r="F120" s="166" t="s">
        <v>88</v>
      </c>
      <c r="G120" s="166" t="s">
        <v>154</v>
      </c>
      <c r="H120" s="166" t="s">
        <v>155</v>
      </c>
      <c r="I120" s="166" t="s">
        <v>150</v>
      </c>
    </row>
    <row r="121" spans="1:9" ht="12.75">
      <c r="A121" s="166" t="s">
        <v>170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171</v>
      </c>
      <c r="B122" s="166">
        <f>B82*10000/B62</f>
        <v>38.98085932083434</v>
      </c>
      <c r="C122" s="166">
        <f>C82*10000/C62</f>
        <v>5.878330638659731</v>
      </c>
      <c r="D122" s="166">
        <f>D82*10000/D62</f>
        <v>-2.6274312877800954</v>
      </c>
      <c r="E122" s="166">
        <f>E82*10000/E62</f>
        <v>-0.6793726393992652</v>
      </c>
      <c r="F122" s="166">
        <f>F82*10000/F62</f>
        <v>-47.29875375871662</v>
      </c>
      <c r="G122" s="166">
        <f>AVERAGE(C122:E122)</f>
        <v>0.857175570493457</v>
      </c>
      <c r="H122" s="166">
        <f>STDEV(C122:E122)</f>
        <v>4.45620149772334</v>
      </c>
      <c r="I122" s="166">
        <f>(B122*B4+C122*C4+D122*D4+E122*E4+F122*F4)/SUM(B4:F4)</f>
        <v>-0.06101405739506225</v>
      </c>
    </row>
    <row r="123" spans="1:9" ht="12.75">
      <c r="A123" s="166" t="s">
        <v>172</v>
      </c>
      <c r="B123" s="166">
        <f>B83*10000/B62</f>
        <v>2.7275413538885385</v>
      </c>
      <c r="C123" s="166">
        <f>C83*10000/C62</f>
        <v>-1.2598502018136937</v>
      </c>
      <c r="D123" s="166">
        <f>D83*10000/D62</f>
        <v>-1.8117752346144165</v>
      </c>
      <c r="E123" s="166">
        <f>E83*10000/E62</f>
        <v>-1.1508113796459614</v>
      </c>
      <c r="F123" s="166">
        <f>F83*10000/F62</f>
        <v>8.23115682793847</v>
      </c>
      <c r="G123" s="166">
        <f>AVERAGE(C123:E123)</f>
        <v>-1.407478938691357</v>
      </c>
      <c r="H123" s="166">
        <f>STDEV(C123:E123)</f>
        <v>0.35435009151651403</v>
      </c>
      <c r="I123" s="166">
        <f>(B123*B4+C123*C4+D123*D4+E123*E4+F123*F4)/SUM(B4:F4)</f>
        <v>0.4769208039295202</v>
      </c>
    </row>
    <row r="124" spans="1:9" ht="12.75">
      <c r="A124" s="166" t="s">
        <v>173</v>
      </c>
      <c r="B124" s="166">
        <f>B84*10000/B62</f>
        <v>2.110734331904968</v>
      </c>
      <c r="C124" s="166">
        <f>C84*10000/C62</f>
        <v>-1.0073152192316184</v>
      </c>
      <c r="D124" s="166">
        <f>D84*10000/D62</f>
        <v>-0.3056433653775772</v>
      </c>
      <c r="E124" s="166">
        <f>E84*10000/E62</f>
        <v>2.9112625969113224</v>
      </c>
      <c r="F124" s="166">
        <f>F84*10000/F62</f>
        <v>0.27091124010107226</v>
      </c>
      <c r="G124" s="166">
        <f>AVERAGE(C124:E124)</f>
        <v>0.5327680041007089</v>
      </c>
      <c r="H124" s="166">
        <f>STDEV(C124:E124)</f>
        <v>2.089500716354205</v>
      </c>
      <c r="I124" s="166">
        <f>(B124*B4+C124*C4+D124*D4+E124*E4+F124*F4)/SUM(B4:F4)</f>
        <v>0.7259363830536276</v>
      </c>
    </row>
    <row r="125" spans="1:9" ht="12.75">
      <c r="A125" s="166" t="s">
        <v>174</v>
      </c>
      <c r="B125" s="166">
        <f>B85*10000/B62</f>
        <v>-0.3525883083198484</v>
      </c>
      <c r="C125" s="166">
        <f>C85*10000/C62</f>
        <v>-0.5734324993005253</v>
      </c>
      <c r="D125" s="166">
        <f>D85*10000/D62</f>
        <v>-0.8053151054818263</v>
      </c>
      <c r="E125" s="166">
        <f>E85*10000/E62</f>
        <v>-0.4323840525009576</v>
      </c>
      <c r="F125" s="166">
        <f>F85*10000/F62</f>
        <v>-1.3588837085407606</v>
      </c>
      <c r="G125" s="166">
        <f>AVERAGE(C125:E125)</f>
        <v>-0.6037105524277697</v>
      </c>
      <c r="H125" s="166">
        <f>STDEV(C125:E125)</f>
        <v>0.18830019369410386</v>
      </c>
      <c r="I125" s="166">
        <f>(B125*B4+C125*C4+D125*D4+E125*E4+F125*F4)/SUM(B4:F4)</f>
        <v>-0.6682141957389135</v>
      </c>
    </row>
    <row r="126" spans="1:9" ht="12.75">
      <c r="A126" s="166" t="s">
        <v>175</v>
      </c>
      <c r="B126" s="166">
        <f>B86*10000/B62</f>
        <v>0.8183082914768385</v>
      </c>
      <c r="C126" s="166">
        <f>C86*10000/C62</f>
        <v>0.1220699907258435</v>
      </c>
      <c r="D126" s="166">
        <f>D86*10000/D62</f>
        <v>0.3842213736615562</v>
      </c>
      <c r="E126" s="166">
        <f>E86*10000/E62</f>
        <v>0.23842733878432282</v>
      </c>
      <c r="F126" s="166">
        <f>F86*10000/F62</f>
        <v>1.6095621889027754</v>
      </c>
      <c r="G126" s="166">
        <f>AVERAGE(C126:E126)</f>
        <v>0.24823956772390746</v>
      </c>
      <c r="H126" s="166">
        <f>STDEV(C126:E126)</f>
        <v>0.131350853713818</v>
      </c>
      <c r="I126" s="166">
        <f>(B126*B4+C126*C4+D126*D4+E126*E4+F126*F4)/SUM(B4:F4)</f>
        <v>0.5123567512254612</v>
      </c>
    </row>
    <row r="127" spans="1:9" ht="12.75">
      <c r="A127" s="166" t="s">
        <v>176</v>
      </c>
      <c r="B127" s="166">
        <f>B87*10000/B62</f>
        <v>0.4067763614496259</v>
      </c>
      <c r="C127" s="166">
        <f>C87*10000/C62</f>
        <v>0.30725309843234966</v>
      </c>
      <c r="D127" s="166">
        <f>D87*10000/D62</f>
        <v>0.19209791201524656</v>
      </c>
      <c r="E127" s="166">
        <f>E87*10000/E62</f>
        <v>0.43859143020496794</v>
      </c>
      <c r="F127" s="166">
        <f>F87*10000/F62</f>
        <v>0.4796145577882633</v>
      </c>
      <c r="G127" s="166">
        <f>AVERAGE(C127:E127)</f>
        <v>0.31264748021752137</v>
      </c>
      <c r="H127" s="166">
        <f>STDEV(C127:E127)</f>
        <v>0.12333526723334157</v>
      </c>
      <c r="I127" s="166">
        <f>(B127*B4+C127*C4+D127*D4+E127*E4+F127*F4)/SUM(B4:F4)</f>
        <v>0.34854956040814106</v>
      </c>
    </row>
    <row r="128" spans="1:9" ht="12.75">
      <c r="A128" s="166" t="s">
        <v>177</v>
      </c>
      <c r="B128" s="166">
        <f>B88*10000/B62</f>
        <v>0.2933329633515776</v>
      </c>
      <c r="C128" s="166">
        <f>C88*10000/C62</f>
        <v>-0.25995181491545505</v>
      </c>
      <c r="D128" s="166">
        <f>D88*10000/D62</f>
        <v>-1.028520797648498E-05</v>
      </c>
      <c r="E128" s="166">
        <f>E88*10000/E62</f>
        <v>0.25551502180517927</v>
      </c>
      <c r="F128" s="166">
        <f>F88*10000/F62</f>
        <v>-0.07838731510827095</v>
      </c>
      <c r="G128" s="166">
        <f>AVERAGE(C128:E128)</f>
        <v>-0.001482359439417417</v>
      </c>
      <c r="H128" s="166">
        <f>STDEV(C128:E128)</f>
        <v>0.2577365713118754</v>
      </c>
      <c r="I128" s="166">
        <f>(B128*B4+C128*C4+D128*D4+E128*E4+F128*F4)/SUM(B4:F4)</f>
        <v>0.030862183725968252</v>
      </c>
    </row>
    <row r="129" spans="1:9" ht="12.75">
      <c r="A129" s="166" t="s">
        <v>178</v>
      </c>
      <c r="B129" s="166">
        <f>B89*10000/B62</f>
        <v>-0.01736374921467222</v>
      </c>
      <c r="C129" s="166">
        <f>C89*10000/C62</f>
        <v>0.038730457652308106</v>
      </c>
      <c r="D129" s="166">
        <f>D89*10000/D62</f>
        <v>0.021884868035758162</v>
      </c>
      <c r="E129" s="166">
        <f>E89*10000/E62</f>
        <v>0.07851730661727363</v>
      </c>
      <c r="F129" s="166">
        <f>F89*10000/F62</f>
        <v>0.00654608854780678</v>
      </c>
      <c r="G129" s="166">
        <f>AVERAGE(C129:E129)</f>
        <v>0.046377544101779966</v>
      </c>
      <c r="H129" s="166">
        <f>STDEV(C129:E129)</f>
        <v>0.029080349435599163</v>
      </c>
      <c r="I129" s="166">
        <f>(B129*B4+C129*C4+D129*D4+E129*E4+F129*F4)/SUM(B4:F4)</f>
        <v>0.03184893057088667</v>
      </c>
    </row>
    <row r="130" spans="1:9" ht="12.75">
      <c r="A130" s="166" t="s">
        <v>179</v>
      </c>
      <c r="B130" s="166">
        <f>B90*10000/B62</f>
        <v>0.09187544824143504</v>
      </c>
      <c r="C130" s="166">
        <f>C90*10000/C62</f>
        <v>0.07191126675270094</v>
      </c>
      <c r="D130" s="166">
        <f>D90*10000/D62</f>
        <v>0.05484591881829946</v>
      </c>
      <c r="E130" s="166">
        <f>E90*10000/E62</f>
        <v>-0.02338596281067282</v>
      </c>
      <c r="F130" s="166">
        <f>F90*10000/F62</f>
        <v>0.29734030621464685</v>
      </c>
      <c r="G130" s="166">
        <f>AVERAGE(C130:E130)</f>
        <v>0.03445707425344253</v>
      </c>
      <c r="H130" s="166">
        <f>STDEV(C130:E130)</f>
        <v>0.05081504922393573</v>
      </c>
      <c r="I130" s="166">
        <f>(B130*B4+C130*C4+D130*D4+E130*E4+F130*F4)/SUM(B4:F4)</f>
        <v>0.07784857106723492</v>
      </c>
    </row>
    <row r="131" spans="1:9" ht="12.75">
      <c r="A131" s="166" t="s">
        <v>180</v>
      </c>
      <c r="B131" s="166">
        <f>B91*10000/B62</f>
        <v>0.004907990220633506</v>
      </c>
      <c r="C131" s="166">
        <f>C91*10000/C62</f>
        <v>0.03137502369843049</v>
      </c>
      <c r="D131" s="166">
        <f>D91*10000/D62</f>
        <v>0.02082621720442588</v>
      </c>
      <c r="E131" s="166">
        <f>E91*10000/E62</f>
        <v>0.039415259534597014</v>
      </c>
      <c r="F131" s="166">
        <f>F91*10000/F62</f>
        <v>0.03333485690309417</v>
      </c>
      <c r="G131" s="166">
        <f>AVERAGE(C131:E131)</f>
        <v>0.030538833479151126</v>
      </c>
      <c r="H131" s="166">
        <f>STDEV(C131:E131)</f>
        <v>0.009322689217727753</v>
      </c>
      <c r="I131" s="166">
        <f>(B131*B4+C131*C4+D131*D4+E131*E4+F131*F4)/SUM(B4:F4)</f>
        <v>0.02720816037215508</v>
      </c>
    </row>
    <row r="132" spans="1:9" ht="12.75">
      <c r="A132" s="166" t="s">
        <v>181</v>
      </c>
      <c r="B132" s="166">
        <f>B92*10000/B62</f>
        <v>0.02237795436424576</v>
      </c>
      <c r="C132" s="166">
        <f>C92*10000/C62</f>
        <v>-0.025592456596944646</v>
      </c>
      <c r="D132" s="166">
        <f>D92*10000/D62</f>
        <v>0.014227975437636568</v>
      </c>
      <c r="E132" s="166">
        <f>E92*10000/E62</f>
        <v>0.03906026407300947</v>
      </c>
      <c r="F132" s="166">
        <f>F92*10000/F62</f>
        <v>0.014218373640664427</v>
      </c>
      <c r="G132" s="166">
        <f>AVERAGE(C132:E132)</f>
        <v>0.009231927637900464</v>
      </c>
      <c r="H132" s="166">
        <f>STDEV(C132:E132)</f>
        <v>0.032614627741547414</v>
      </c>
      <c r="I132" s="166">
        <f>(B132*B4+C132*C4+D132*D4+E132*E4+F132*F4)/SUM(B4:F4)</f>
        <v>0.011797338319222517</v>
      </c>
    </row>
    <row r="133" spans="1:9" ht="12.75">
      <c r="A133" s="166" t="s">
        <v>182</v>
      </c>
      <c r="B133" s="166">
        <f>B93*10000/B62</f>
        <v>0.05676116999986406</v>
      </c>
      <c r="C133" s="166">
        <f>C93*10000/C62</f>
        <v>0.05948149854300053</v>
      </c>
      <c r="D133" s="166">
        <f>D93*10000/D62</f>
        <v>0.05937268703123955</v>
      </c>
      <c r="E133" s="166">
        <f>E93*10000/E62</f>
        <v>0.06552939545582087</v>
      </c>
      <c r="F133" s="166">
        <f>F93*10000/F62</f>
        <v>0.04534149412012116</v>
      </c>
      <c r="G133" s="166">
        <f>AVERAGE(C133:E133)</f>
        <v>0.06146119367668698</v>
      </c>
      <c r="H133" s="166">
        <f>STDEV(C133:E133)</f>
        <v>0.0035235861381670763</v>
      </c>
      <c r="I133" s="166">
        <f>(B133*B4+C133*C4+D133*D4+E133*E4+F133*F4)/SUM(B4:F4)</f>
        <v>0.05863009555132811</v>
      </c>
    </row>
    <row r="134" spans="1:9" ht="12.75">
      <c r="A134" s="166" t="s">
        <v>183</v>
      </c>
      <c r="B134" s="166">
        <f>B94*10000/B62</f>
        <v>0.009632670407162702</v>
      </c>
      <c r="C134" s="166">
        <f>C94*10000/C62</f>
        <v>0.01801245818767986</v>
      </c>
      <c r="D134" s="166">
        <f>D94*10000/D62</f>
        <v>0.017295419214261937</v>
      </c>
      <c r="E134" s="166">
        <f>E94*10000/E62</f>
        <v>0.01043832747984391</v>
      </c>
      <c r="F134" s="166">
        <f>F94*10000/F62</f>
        <v>-0.012782360367587819</v>
      </c>
      <c r="G134" s="166">
        <f>AVERAGE(C134:E134)</f>
        <v>0.015248734960595237</v>
      </c>
      <c r="H134" s="166">
        <f>STDEV(C134:E134)</f>
        <v>0.004181333677249543</v>
      </c>
      <c r="I134" s="166">
        <f>(B134*B4+C134*C4+D134*D4+E134*E4+F134*F4)/SUM(B4:F4)</f>
        <v>0.010694848666955258</v>
      </c>
    </row>
    <row r="135" spans="1:9" ht="12.75">
      <c r="A135" s="166" t="s">
        <v>184</v>
      </c>
      <c r="B135" s="166">
        <f>B95*10000/B62</f>
        <v>-0.003943556901922356</v>
      </c>
      <c r="C135" s="166">
        <f>C95*10000/C62</f>
        <v>-0.002369705262812172</v>
      </c>
      <c r="D135" s="166">
        <f>D95*10000/D62</f>
        <v>-0.003673520041492071</v>
      </c>
      <c r="E135" s="166">
        <f>E95*10000/E62</f>
        <v>-0.0057009519185367815</v>
      </c>
      <c r="F135" s="166">
        <f>F95*10000/F62</f>
        <v>0.002784269179966991</v>
      </c>
      <c r="G135" s="166">
        <f>AVERAGE(C135:E135)</f>
        <v>-0.003914725740947009</v>
      </c>
      <c r="H135" s="166">
        <f>STDEV(C135:E135)</f>
        <v>0.0016786709660937891</v>
      </c>
      <c r="I135" s="166">
        <f>(B135*B4+C135*C4+D135*D4+E135*E4+F135*F4)/SUM(B4:F4)</f>
        <v>-0.003024619813517115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2003-12-08T09:27:42Z</cp:lastPrinted>
  <dcterms:created xsi:type="dcterms:W3CDTF">1999-06-17T15:15:05Z</dcterms:created>
  <dcterms:modified xsi:type="dcterms:W3CDTF">2005-10-05T09:41:42Z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1421584721</vt:i4>
  </property>
  <property fmtid="{D5CDD505-2E9C-101B-9397-08002B2CF9AE}" pid="3" name="_EmailSubject">
    <vt:lpwstr>WFM result of aperture 54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