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46_pos1ap2" sheetId="2" r:id="rId2"/>
    <sheet name="HCMQAP146_pos2ap2" sheetId="3" r:id="rId3"/>
    <sheet name="HCMQAP146_pos3ap2" sheetId="4" r:id="rId4"/>
    <sheet name="HCMQAP146_pos4ap2" sheetId="5" r:id="rId5"/>
    <sheet name="HCMQAP146_pos5ap2" sheetId="6" r:id="rId6"/>
    <sheet name="Lmag_hcmqap" sheetId="7" r:id="rId7"/>
    <sheet name="Result_HCMQAP" sheetId="8" r:id="rId8"/>
  </sheets>
  <definedNames>
    <definedName name="_xlnm.Print_Area" localSheetId="1">'HCMQAP146_pos1ap2'!$A$1:$N$28</definedName>
    <definedName name="_xlnm.Print_Area" localSheetId="2">'HCMQAP146_pos2ap2'!$A$1:$N$28</definedName>
    <definedName name="_xlnm.Print_Area" localSheetId="3">'HCMQAP146_pos3ap2'!$A$1:$N$28</definedName>
    <definedName name="_xlnm.Print_Area" localSheetId="4">'HCMQAP146_pos4ap2'!$A$1:$N$28</definedName>
    <definedName name="_xlnm.Print_Area" localSheetId="5">'HCMQAP146_pos5ap2'!$A$1:$N$28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<sst xmlns="http://schemas.openxmlformats.org/spreadsheetml/2006/main" count="505" uniqueCount="188">
  <si>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</si>
  <si>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</si>
  <si>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</si>
  <si>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</si>
  <si>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</si>
  <si>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</si>
  <si>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</si>
  <si>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</si>
  <si>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</si>
  <si>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</si>
  <si>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</si>
  <si>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</si>
  <si>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</si>
  <si>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</si>
  <si>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</si>
  <si>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hcmqap146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</si>
  <si>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</si>
  <si>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</si>
  <si>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</si>
  <si>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</si>
  <si>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</si>
  <si>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</si>
  <si>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</si>
  <si>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</si>
  <si>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</si>
  <si>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</si>
  <si>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</si>
  <si>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</si>
  <si>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</si>
  <si>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</si>
  <si>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</si>
  <si>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</si>
  <si>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</si>
  <si>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</si>
  <si>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</si>
  <si>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</si>
  <si>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</si>
  <si>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</si>
  <si>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</si>
  <si>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</si>
  <si>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</si>
  <si>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</si>
  <si>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</si>
  <si>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</si>
  <si>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</si>
  <si>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</si>
  <si>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</si>
  <si>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</si>
  <si>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</si>
  <si>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</si>
  <si>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</si>
  <si>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</si>
  <si>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</si>
  <si>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</si>
  <si>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</si>
  <si>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</si>
  <si>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</si>
  <si>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</si>
  <si>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</si>
  <si>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</si>
  <si>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</si>
  <si>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</si>
  <si>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</si>
  <si>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</si>
  <si>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</si>
  <si>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</si>
  <si>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</si>
  <si>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</si>
  <si>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HCMQAP146_pos1ap2</t>
  </si>
  <si>
    <t>±12.5</t>
  </si>
  <si>
    <t>THCMQAP146_pos1ap2.xls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</si>
  <si>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-3.748 mT)</t>
    </r>
  </si>
  <si>
    <t>HCMQAP146_pos2ap2</t>
  </si>
  <si>
    <t>THCMQAP146_pos2ap2.xls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</si>
  <si>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-3.747 mT)</t>
    </r>
  </si>
  <si>
    <t>HCMQAP146_pos3ap2</t>
  </si>
  <si>
    <t>THCMQAP146_pos3ap2.xls</t>
  </si>
  <si>
    <t>HCMQAP146_pos4ap2</t>
  </si>
  <si>
    <t>THCMQAP146_pos4ap2.xls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</si>
  <si>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-2.089 mT)</t>
    </r>
  </si>
  <si>
    <t>HCMQAP146_pos5ap2</t>
  </si>
  <si>
    <t>THCMQAP146_pos5ap2.xls</t>
  </si>
  <si>
    <t>Sommaire : Valeurs intégrales calculées avec les fichiers: HCMQAP146_pos1ap2+HCMQAP146_pos2ap2+HCMQAP146_pos3ap2+HCMQAP146_pos4ap2+HCMQAP146_pos5ap2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</si>
  <si>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</si>
  <si>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</si>
  <si>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</si>
  <si>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</si>
  <si>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</si>
  <si>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</si>
  <si>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</si>
  <si>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</si>
  <si>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</si>
  <si>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</si>
  <si>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</si>
  <si>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</si>
  <si>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</si>
  <si>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</si>
  <si>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</si>
  <si>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</si>
  <si>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</si>
  <si>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</si>
  <si>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</si>
  <si>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</si>
  <si>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</si>
  <si>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</si>
  <si>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</si>
  <si>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</si>
  <si>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</si>
  <si>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</si>
  <si>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</si>
  <si>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</si>
  <si>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</si>
  <si>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</si>
  <si>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</si>
  <si>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</si>
  <si>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</si>
  <si>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</si>
  <si>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</si>
  <si>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</si>
  <si>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</si>
  <si>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</si>
  <si>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</si>
  <si>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</si>
  <si>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</si>
  <si>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</si>
  <si>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</si>
  <si>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=-3.748</t>
    </r>
  </si>
  <si>
    <t>Gradient (T/m)</t>
  </si>
  <si>
    <t xml:space="preserve"> Tue 09/12/2003       10:30:46</t>
  </si>
  <si>
    <t>SIEGMUND</t>
  </si>
  <si>
    <t>HCMQAP146</t>
  </si>
  <si>
    <t>Aperture2</t>
  </si>
  <si>
    <t>Position</t>
  </si>
  <si>
    <t>Integrales</t>
  </si>
  <si>
    <t>Cn (T)</t>
  </si>
  <si>
    <t>Angle (Horiz,Cn)</t>
  </si>
  <si>
    <t>b1</t>
  </si>
  <si>
    <t>b2</t>
  </si>
  <si>
    <t>b3*</t>
  </si>
  <si>
    <t>a1</t>
  </si>
  <si>
    <t>a2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</si>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</sst>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3" fontId="5" fillId="4" borderId="15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5" fillId="4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4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694639"/>
        <c:axId val="63380840"/>
      </c:lineChart>
      <c:catAx>
        <c:axId val="666946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6946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37876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2797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37876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2797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37876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2797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37876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2797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37876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2797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3.80553132E-05</v>
      </c>
      <c r="L2" s="55">
        <v>1.0008004581633439E-07</v>
      </c>
      <c r="M2" s="55">
        <v>8.400557799999999E-05</v>
      </c>
      <c r="N2" s="56">
        <v>2.1459458834975352E-07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-3.299338079999999E-05</v>
      </c>
      <c r="L3" s="55">
        <v>1.8491101965179076E-07</v>
      </c>
      <c r="M3" s="55">
        <v>1.5284264000000004E-05</v>
      </c>
      <c r="N3" s="56">
        <v>2.672880501145662E-07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-0.0022423913166255576</v>
      </c>
      <c r="L4" s="55">
        <v>1.4187818463059647E-05</v>
      </c>
      <c r="M4" s="55">
        <v>6.722617840045588E-08</v>
      </c>
      <c r="N4" s="56">
        <v>-3.1635043</v>
      </c>
    </row>
    <row r="5" spans="1:14" ht="15" customHeight="1" thickBot="1">
      <c r="A5" t="s">
        <v>18</v>
      </c>
      <c r="B5" s="59">
        <v>37964.41658564815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2797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4.3041640999999995</v>
      </c>
      <c r="E8" s="78">
        <v>0.009730351614404187</v>
      </c>
      <c r="F8" s="78">
        <v>-1.14021912</v>
      </c>
      <c r="G8" s="78">
        <v>0.020245474905703942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0.4431748309</v>
      </c>
      <c r="E9" s="80">
        <v>0.013557912784921303</v>
      </c>
      <c r="F9" s="80">
        <v>1.2152584000000002</v>
      </c>
      <c r="G9" s="80">
        <v>0.010247492363487123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-0.53725674</v>
      </c>
      <c r="E10" s="80">
        <v>0.015412858384653762</v>
      </c>
      <c r="F10" s="80">
        <v>-0.73828908</v>
      </c>
      <c r="G10" s="80">
        <v>0.007621637696819003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4.2990061</v>
      </c>
      <c r="E11" s="78">
        <v>0.007724429004169186</v>
      </c>
      <c r="F11" s="78">
        <v>0.8224547</v>
      </c>
      <c r="G11" s="78">
        <v>0.00979880383196085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0.0011246531999999996</v>
      </c>
      <c r="E12" s="80">
        <v>0.0076798999112102345</v>
      </c>
      <c r="F12" s="80">
        <v>0.0350980122</v>
      </c>
      <c r="G12" s="80">
        <v>0.008993984626506205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17.700196</v>
      </c>
      <c r="D13" s="83">
        <v>0.06337376400000001</v>
      </c>
      <c r="E13" s="80">
        <v>0.004850219122315402</v>
      </c>
      <c r="F13" s="80">
        <v>0.00886747027</v>
      </c>
      <c r="G13" s="80">
        <v>0.004681819547758659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-0.0294183313</v>
      </c>
      <c r="E14" s="80">
        <v>0.004713928345055207</v>
      </c>
      <c r="F14" s="80">
        <v>0.007215149000000001</v>
      </c>
      <c r="G14" s="80">
        <v>0.005059525803315363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-0.28036323999999996</v>
      </c>
      <c r="E15" s="78">
        <v>0.004710334842599237</v>
      </c>
      <c r="F15" s="78">
        <v>0.13782457</v>
      </c>
      <c r="G15" s="78">
        <v>0.0032318118970005322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-0.018028283200000002</v>
      </c>
      <c r="E16" s="80">
        <v>0.0022064052959220723</v>
      </c>
      <c r="F16" s="80">
        <v>0.014045046799999999</v>
      </c>
      <c r="G16" s="80">
        <v>0.005219831733394381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-0.29600000381469727</v>
      </c>
      <c r="D17" s="83">
        <v>-0.008802889</v>
      </c>
      <c r="E17" s="80">
        <v>0.0029689259911513514</v>
      </c>
      <c r="F17" s="80">
        <v>0.0031249968999999996</v>
      </c>
      <c r="G17" s="80">
        <v>0.003704729063700535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23.905000686645508</v>
      </c>
      <c r="D18" s="83">
        <v>0.037500283</v>
      </c>
      <c r="E18" s="80">
        <v>0.002474102159060101</v>
      </c>
      <c r="F18" s="80">
        <v>0.06542572699999999</v>
      </c>
      <c r="G18" s="80">
        <v>0.0026218735396708894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-0.3869999945163727</v>
      </c>
      <c r="D19" s="86">
        <v>-0.19172535</v>
      </c>
      <c r="E19" s="80">
        <v>0.0004803836040096642</v>
      </c>
      <c r="F19" s="80">
        <v>0.020642482</v>
      </c>
      <c r="G19" s="80">
        <v>0.0017546028880307762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0.2925102</v>
      </c>
      <c r="D20" s="88">
        <v>-0.00285217548</v>
      </c>
      <c r="E20" s="89">
        <v>0.0014913581249174487</v>
      </c>
      <c r="F20" s="89">
        <v>-0.00456568944</v>
      </c>
      <c r="G20" s="89">
        <v>0.0012644290766263152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0.6350097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-0.18125559796154178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-2.2424362000000007</v>
      </c>
      <c r="I25" s="101" t="s">
        <v>49</v>
      </c>
      <c r="J25" s="102"/>
      <c r="K25" s="101"/>
      <c r="L25" s="104">
        <v>4.37697214765976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4.4526316085369535</v>
      </c>
      <c r="I26" s="106" t="s">
        <v>53</v>
      </c>
      <c r="J26" s="107"/>
      <c r="K26" s="106"/>
      <c r="L26" s="109">
        <v>0.3124086401477758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HCMQAP146_pos1ap2res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6.805279199999998E-05</v>
      </c>
      <c r="L2" s="55">
        <v>8.472349891244837E-08</v>
      </c>
      <c r="M2" s="55">
        <v>0.00010937167199999999</v>
      </c>
      <c r="N2" s="56">
        <v>2.3895766909429814E-07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-3.0089403999999994E-05</v>
      </c>
      <c r="L3" s="55">
        <v>1.2848836046159676E-07</v>
      </c>
      <c r="M3" s="55">
        <v>1.2950208000000004E-05</v>
      </c>
      <c r="N3" s="56">
        <v>1.8043837933204778E-07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-0.0037481926245479477</v>
      </c>
      <c r="L4" s="55">
        <v>-7.43567645681334E-06</v>
      </c>
      <c r="M4" s="55">
        <v>5.987904435189713E-08</v>
      </c>
      <c r="N4" s="56">
        <v>0.99190029</v>
      </c>
    </row>
    <row r="5" spans="1:14" ht="15" customHeight="1" thickBot="1">
      <c r="A5" t="s">
        <v>18</v>
      </c>
      <c r="B5" s="59">
        <v>37964.421006944445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2797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4.1055712</v>
      </c>
      <c r="E8" s="78">
        <v>0.01485241524669966</v>
      </c>
      <c r="F8" s="78">
        <v>-1.7775820999999996</v>
      </c>
      <c r="G8" s="78">
        <v>0.020000103143273756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0.361822056</v>
      </c>
      <c r="E9" s="80">
        <v>0.010208228966087505</v>
      </c>
      <c r="F9" s="80">
        <v>0.30213982</v>
      </c>
      <c r="G9" s="80">
        <v>0.012729151719796432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-0.61492359</v>
      </c>
      <c r="E10" s="80">
        <v>0.006624567714907789</v>
      </c>
      <c r="F10" s="80">
        <v>-0.41176451</v>
      </c>
      <c r="G10" s="80">
        <v>0.004601206397611833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3.7232738000000003</v>
      </c>
      <c r="E11" s="78">
        <v>0.005431506426059755</v>
      </c>
      <c r="F11" s="78">
        <v>0.42578306</v>
      </c>
      <c r="G11" s="78">
        <v>0.006028098570646595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0.15301494</v>
      </c>
      <c r="E12" s="80">
        <v>0.003665567189454351</v>
      </c>
      <c r="F12" s="80">
        <v>-0.112748666</v>
      </c>
      <c r="G12" s="80">
        <v>0.0032730527349227184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17.584229</v>
      </c>
      <c r="D13" s="83">
        <v>0.08946741728999999</v>
      </c>
      <c r="E13" s="80">
        <v>0.0028338713590084254</v>
      </c>
      <c r="F13" s="80">
        <v>-0.093102246</v>
      </c>
      <c r="G13" s="80">
        <v>0.003259375064164129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-0.053696759999999996</v>
      </c>
      <c r="E14" s="80">
        <v>0.003528908186061276</v>
      </c>
      <c r="F14" s="80">
        <v>0.04406541916</v>
      </c>
      <c r="G14" s="80">
        <v>0.0032415830731134746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-0.084150302</v>
      </c>
      <c r="E15" s="78">
        <v>0.0026696137575546466</v>
      </c>
      <c r="F15" s="78">
        <v>0.106689509</v>
      </c>
      <c r="G15" s="78">
        <v>0.004349794866774956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-0.0019686397</v>
      </c>
      <c r="E16" s="80">
        <v>0.0017935909231966344</v>
      </c>
      <c r="F16" s="80">
        <v>0.017124364</v>
      </c>
      <c r="G16" s="80">
        <v>0.0022747076495857723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0.34599998593330383</v>
      </c>
      <c r="D17" s="83">
        <v>-0.013393221</v>
      </c>
      <c r="E17" s="80">
        <v>0.0017614879268175458</v>
      </c>
      <c r="F17" s="80">
        <v>-0.023153040200000002</v>
      </c>
      <c r="G17" s="80">
        <v>0.0018292467086826766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-1.0169999599456787</v>
      </c>
      <c r="D18" s="83">
        <v>0.027948633</v>
      </c>
      <c r="E18" s="80">
        <v>0.0009852715272481462</v>
      </c>
      <c r="F18" s="80">
        <v>0.040490971</v>
      </c>
      <c r="G18" s="80">
        <v>0.0014860584667449085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0.27000001072883606</v>
      </c>
      <c r="D19" s="86">
        <v>-0.16963694</v>
      </c>
      <c r="E19" s="80">
        <v>0.0009058419113748672</v>
      </c>
      <c r="F19" s="80">
        <v>0.023541174000000005</v>
      </c>
      <c r="G19" s="80">
        <v>0.0011264756515849779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0.3076622</v>
      </c>
      <c r="D20" s="88">
        <v>-0.00029892395999999994</v>
      </c>
      <c r="E20" s="89">
        <v>0.0013915413236972314</v>
      </c>
      <c r="F20" s="89">
        <v>0.0006432622999999999</v>
      </c>
      <c r="G20" s="89">
        <v>0.0007226832877165904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0.49667189999999994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0.05683174831852661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-3.7482</v>
      </c>
      <c r="I25" s="101" t="s">
        <v>49</v>
      </c>
      <c r="J25" s="102"/>
      <c r="K25" s="101"/>
      <c r="L25" s="104">
        <v>3.7475403939049685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4.473870024990651</v>
      </c>
      <c r="I26" s="106" t="s">
        <v>53</v>
      </c>
      <c r="J26" s="107"/>
      <c r="K26" s="106"/>
      <c r="L26" s="109">
        <v>0.1358820247764666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HCMQAP146_pos2ap2res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5.7930846000000004E-05</v>
      </c>
      <c r="L2" s="55">
        <v>1.3330323920733085E-07</v>
      </c>
      <c r="M2" s="55">
        <v>7.3218021E-05</v>
      </c>
      <c r="N2" s="56">
        <v>3.068825587639283E-07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-2.8758897999999994E-05</v>
      </c>
      <c r="L3" s="55">
        <v>1.8457030123029087E-07</v>
      </c>
      <c r="M3" s="55">
        <v>1.0365145E-05</v>
      </c>
      <c r="N3" s="56">
        <v>1.9833124794139475E-07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-0.0037472453864667377</v>
      </c>
      <c r="L4" s="55">
        <v>-3.1632795781601156E-05</v>
      </c>
      <c r="M4" s="55">
        <v>8.042660670217701E-08</v>
      </c>
      <c r="N4" s="56">
        <v>4.220706300000001</v>
      </c>
    </row>
    <row r="5" spans="1:14" ht="15" customHeight="1" thickBot="1">
      <c r="A5" t="s">
        <v>18</v>
      </c>
      <c r="B5" s="59">
        <v>37964.42559027778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2797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2.7884329000000005</v>
      </c>
      <c r="E8" s="78">
        <v>0.010503480382128014</v>
      </c>
      <c r="F8" s="78">
        <v>-1.6197652000000002</v>
      </c>
      <c r="G8" s="78">
        <v>0.016621398131921285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0.84349516</v>
      </c>
      <c r="E9" s="80">
        <v>0.008528259823640024</v>
      </c>
      <c r="F9" s="80">
        <v>0.5730790499999999</v>
      </c>
      <c r="G9" s="80">
        <v>0.011207280358906366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-0.53200696</v>
      </c>
      <c r="E10" s="80">
        <v>0.006667255301949389</v>
      </c>
      <c r="F10" s="80">
        <v>-0.6530345900000001</v>
      </c>
      <c r="G10" s="80">
        <v>0.006023749611118222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3.4317788</v>
      </c>
      <c r="E11" s="78">
        <v>0.003680745883624021</v>
      </c>
      <c r="F11" s="78">
        <v>0.20308800000000002</v>
      </c>
      <c r="G11" s="78">
        <v>0.00868640646383661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0.005516572</v>
      </c>
      <c r="E12" s="80">
        <v>0.001860770525179286</v>
      </c>
      <c r="F12" s="80">
        <v>-0.11514236199999998</v>
      </c>
      <c r="G12" s="80">
        <v>0.0046815376209315375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17.449952</v>
      </c>
      <c r="D13" s="83">
        <v>0.22517517000000004</v>
      </c>
      <c r="E13" s="80">
        <v>0.0030325280288213186</v>
      </c>
      <c r="F13" s="80">
        <v>0.022616592999999997</v>
      </c>
      <c r="G13" s="80">
        <v>0.001438832863579422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-0.14385708</v>
      </c>
      <c r="E14" s="80">
        <v>0.0017127629245183968</v>
      </c>
      <c r="F14" s="80">
        <v>0.05315014600000001</v>
      </c>
      <c r="G14" s="80">
        <v>0.0029913333112599233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-0.085075567</v>
      </c>
      <c r="E15" s="78">
        <v>0.0014149506157161132</v>
      </c>
      <c r="F15" s="78">
        <v>0.062694232</v>
      </c>
      <c r="G15" s="78">
        <v>0.001844349752277046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0.01490583506</v>
      </c>
      <c r="E16" s="80">
        <v>0.0013277705653284963</v>
      </c>
      <c r="F16" s="80">
        <v>0.012251563599999998</v>
      </c>
      <c r="G16" s="80">
        <v>0.0012312753918490233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-0.3529999852180481</v>
      </c>
      <c r="D17" s="83">
        <v>-0.005916253</v>
      </c>
      <c r="E17" s="80">
        <v>0.001785185416853387</v>
      </c>
      <c r="F17" s="80">
        <v>0.0012083410000000001</v>
      </c>
      <c r="G17" s="80">
        <v>0.0012077222355343137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31.025999069213867</v>
      </c>
      <c r="D18" s="83">
        <v>0.020539374000000006</v>
      </c>
      <c r="E18" s="80">
        <v>0.0009318316257424719</v>
      </c>
      <c r="F18" s="80">
        <v>0.032474171</v>
      </c>
      <c r="G18" s="80">
        <v>0.001180187084598794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-0.4519999921321869</v>
      </c>
      <c r="D19" s="86">
        <v>-0.16649893</v>
      </c>
      <c r="E19" s="80">
        <v>0.0007609489526954896</v>
      </c>
      <c r="F19" s="80">
        <v>0.017254902</v>
      </c>
      <c r="G19" s="80">
        <v>0.0010421531282571205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0.25998770000000004</v>
      </c>
      <c r="D20" s="88">
        <v>0.0031717807</v>
      </c>
      <c r="E20" s="89">
        <v>0.0010267617061441592</v>
      </c>
      <c r="F20" s="89">
        <v>-1.875379999999997E-05</v>
      </c>
      <c r="G20" s="89">
        <v>0.00022683602859193249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0.3343594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0.24182886181837862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-3.7473788999999997</v>
      </c>
      <c r="I25" s="101" t="s">
        <v>49</v>
      </c>
      <c r="J25" s="102"/>
      <c r="K25" s="101"/>
      <c r="L25" s="104">
        <v>3.4377827836955377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3.224747639883384</v>
      </c>
      <c r="I26" s="106" t="s">
        <v>53</v>
      </c>
      <c r="J26" s="107"/>
      <c r="K26" s="106"/>
      <c r="L26" s="109">
        <v>0.10568074009222926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HCMQAP146_pos3ap2res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6.6811395E-05</v>
      </c>
      <c r="L2" s="55">
        <v>1.4004291067234852E-07</v>
      </c>
      <c r="M2" s="55">
        <v>9.383756100000001E-05</v>
      </c>
      <c r="N2" s="56">
        <v>3.7029540897890056E-07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-2.8468520999999998E-05</v>
      </c>
      <c r="L3" s="55">
        <v>5.733578124471175E-07</v>
      </c>
      <c r="M3" s="55">
        <v>8.806639000000001E-06</v>
      </c>
      <c r="N3" s="56">
        <v>2.7589556233112617E-07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-0.0037468358094423808</v>
      </c>
      <c r="L4" s="55">
        <v>-5.644173765107437E-05</v>
      </c>
      <c r="M4" s="55">
        <v>1.043155703566708E-07</v>
      </c>
      <c r="N4" s="56">
        <v>7.5313507</v>
      </c>
    </row>
    <row r="5" spans="1:14" ht="15" customHeight="1" thickBot="1">
      <c r="A5" t="s">
        <v>18</v>
      </c>
      <c r="B5" s="59">
        <v>37964.43004629629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2797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3.0053981999999997</v>
      </c>
      <c r="E8" s="78">
        <v>0.013692133710961743</v>
      </c>
      <c r="F8" s="78">
        <v>0.48661279999999996</v>
      </c>
      <c r="G8" s="78">
        <v>0.012234732160126823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0.269284038</v>
      </c>
      <c r="E9" s="80">
        <v>0.011756296907004539</v>
      </c>
      <c r="F9" s="80">
        <v>1.5756964</v>
      </c>
      <c r="G9" s="80">
        <v>0.009645013527213996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-0.34254479</v>
      </c>
      <c r="E10" s="80">
        <v>0.00585728776358293</v>
      </c>
      <c r="F10" s="80">
        <v>0.13279934899999998</v>
      </c>
      <c r="G10" s="80">
        <v>0.005142818034324874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3.3655309000000004</v>
      </c>
      <c r="E11" s="78">
        <v>0.0046523075497870246</v>
      </c>
      <c r="F11" s="78">
        <v>0.5775397699999999</v>
      </c>
      <c r="G11" s="78">
        <v>0.007574740325891795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-0.08302583799999999</v>
      </c>
      <c r="E12" s="80">
        <v>0.004728612871888113</v>
      </c>
      <c r="F12" s="80">
        <v>-0.0430595486</v>
      </c>
      <c r="G12" s="80">
        <v>0.001246649341358537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17.352295</v>
      </c>
      <c r="D13" s="83">
        <v>0.078152446</v>
      </c>
      <c r="E13" s="80">
        <v>0.001918778168028896</v>
      </c>
      <c r="F13" s="80">
        <v>0.055230825000000004</v>
      </c>
      <c r="G13" s="80">
        <v>0.002577492558460517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-0.073885353</v>
      </c>
      <c r="E14" s="80">
        <v>0.0023291463515321366</v>
      </c>
      <c r="F14" s="80">
        <v>0.091727144</v>
      </c>
      <c r="G14" s="80">
        <v>0.0017646112208856066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-0.111096244</v>
      </c>
      <c r="E15" s="78">
        <v>0.0016264141978218239</v>
      </c>
      <c r="F15" s="78">
        <v>0.039900936</v>
      </c>
      <c r="G15" s="78">
        <v>0.0015791012108742216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-0.012849190700000002</v>
      </c>
      <c r="E16" s="80">
        <v>0.0013195898101947146</v>
      </c>
      <c r="F16" s="80">
        <v>-0.006164493679999999</v>
      </c>
      <c r="G16" s="80">
        <v>0.0016167483234303314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0.40700000524520874</v>
      </c>
      <c r="D17" s="83">
        <v>-0.004633791</v>
      </c>
      <c r="E17" s="80">
        <v>0.0008004964020243932</v>
      </c>
      <c r="F17" s="80">
        <v>-0.009461537400000001</v>
      </c>
      <c r="G17" s="80">
        <v>0.0018041256630191348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-0.5090000033378601</v>
      </c>
      <c r="D18" s="83">
        <v>0.032196254</v>
      </c>
      <c r="E18" s="80">
        <v>0.001055588128928049</v>
      </c>
      <c r="F18" s="80">
        <v>0.038215265</v>
      </c>
      <c r="G18" s="80">
        <v>0.0008835294670637309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0.3440000116825104</v>
      </c>
      <c r="D19" s="86">
        <v>-0.1677203</v>
      </c>
      <c r="E19" s="80">
        <v>0.0009113951503039962</v>
      </c>
      <c r="F19" s="80">
        <v>0.017388140000000003</v>
      </c>
      <c r="G19" s="80">
        <v>0.0006765336663610874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0.2966418</v>
      </c>
      <c r="D20" s="88">
        <v>-0.00017615904399999994</v>
      </c>
      <c r="E20" s="89">
        <v>0.001244081453882339</v>
      </c>
      <c r="F20" s="89">
        <v>0.002232214953</v>
      </c>
      <c r="G20" s="89">
        <v>0.0004451550470032269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0.4302266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0.4315149736280037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-3.7472609000000006</v>
      </c>
      <c r="I25" s="101" t="s">
        <v>49</v>
      </c>
      <c r="J25" s="102"/>
      <c r="K25" s="101"/>
      <c r="L25" s="104">
        <v>3.4147255270060093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3.0445377904843087</v>
      </c>
      <c r="I26" s="106" t="s">
        <v>53</v>
      </c>
      <c r="J26" s="107"/>
      <c r="K26" s="106"/>
      <c r="L26" s="109">
        <v>0.11804431424081226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HCMQAP146_pos4ap2res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4.7836501E-05</v>
      </c>
      <c r="L2" s="55">
        <v>1.3319048473655653E-07</v>
      </c>
      <c r="M2" s="55">
        <v>7.076826500000001E-05</v>
      </c>
      <c r="N2" s="56">
        <v>1.5794783765216497E-07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-3.0077079E-05</v>
      </c>
      <c r="L3" s="55">
        <v>1.442122353473721E-07</v>
      </c>
      <c r="M3" s="55">
        <v>7.942969E-06</v>
      </c>
      <c r="N3" s="56">
        <v>1.6581435548228674E-07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-0.002088441551954675</v>
      </c>
      <c r="L4" s="55">
        <v>-3.939077351547344E-05</v>
      </c>
      <c r="M4" s="55">
        <v>4.893977177529719E-08</v>
      </c>
      <c r="N4" s="56">
        <v>9.429544099999998</v>
      </c>
    </row>
    <row r="5" spans="1:14" ht="15" customHeight="1" thickBot="1">
      <c r="A5" t="s">
        <v>18</v>
      </c>
      <c r="B5" s="59">
        <v>37964.43450231481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2797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2.2652889000000003</v>
      </c>
      <c r="E8" s="78">
        <v>0.030250874667342994</v>
      </c>
      <c r="F8" s="114">
        <v>8.2587062</v>
      </c>
      <c r="G8" s="78">
        <v>0.034337304571607705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-1.5373549800000001</v>
      </c>
      <c r="E9" s="80">
        <v>0.015292433060700333</v>
      </c>
      <c r="F9" s="80">
        <v>-0.72016835</v>
      </c>
      <c r="G9" s="80">
        <v>0.02317384049155503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-0.77909355</v>
      </c>
      <c r="E10" s="80">
        <v>0.014700888433086723</v>
      </c>
      <c r="F10" s="80">
        <v>-0.28548728</v>
      </c>
      <c r="G10" s="80">
        <v>0.006998723241465426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14.326488000000001</v>
      </c>
      <c r="E11" s="78">
        <v>0.005039133458194681</v>
      </c>
      <c r="F11" s="116">
        <v>1.7992531</v>
      </c>
      <c r="G11" s="78">
        <v>0.0045023524673124486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-0.39078814000000006</v>
      </c>
      <c r="E12" s="80">
        <v>0.006791567891758799</v>
      </c>
      <c r="F12" s="80">
        <v>0.5703589499999999</v>
      </c>
      <c r="G12" s="80">
        <v>0.01223392759293036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17.294312</v>
      </c>
      <c r="D13" s="83">
        <v>-0.14992100600000002</v>
      </c>
      <c r="E13" s="80">
        <v>0.005307872682840919</v>
      </c>
      <c r="F13" s="80">
        <v>-0.26968643999999997</v>
      </c>
      <c r="G13" s="80">
        <v>0.004400803060852803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0.0395789787</v>
      </c>
      <c r="E14" s="80">
        <v>0.002470269205600379</v>
      </c>
      <c r="F14" s="80">
        <v>0.07595152699999999</v>
      </c>
      <c r="G14" s="80">
        <v>0.0015074500094621637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-0.35108483</v>
      </c>
      <c r="E15" s="78">
        <v>0.0015207226524221154</v>
      </c>
      <c r="F15" s="78">
        <v>0.26965443999999994</v>
      </c>
      <c r="G15" s="78">
        <v>0.003299543647144999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-0.056480268</v>
      </c>
      <c r="E16" s="80">
        <v>0.004755346513967864</v>
      </c>
      <c r="F16" s="80">
        <v>0.07415919</v>
      </c>
      <c r="G16" s="80">
        <v>0.0024272444438888643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-0.18400000035762787</v>
      </c>
      <c r="D17" s="83">
        <v>-0.028273185999999995</v>
      </c>
      <c r="E17" s="80">
        <v>0.0020178583551265813</v>
      </c>
      <c r="F17" s="80">
        <v>-0.037921831</v>
      </c>
      <c r="G17" s="80">
        <v>0.002235969235838005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31.53499984741211</v>
      </c>
      <c r="D18" s="83">
        <v>0.016152714000000002</v>
      </c>
      <c r="E18" s="80">
        <v>0.0017032519702249618</v>
      </c>
      <c r="F18" s="80">
        <v>0.03709386299999999</v>
      </c>
      <c r="G18" s="80">
        <v>0.0012349961074538493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-0.26499998569488525</v>
      </c>
      <c r="D19" s="83">
        <v>-0.12818299</v>
      </c>
      <c r="E19" s="80">
        <v>0.0013101195729400507</v>
      </c>
      <c r="F19" s="80">
        <v>-0.012038021800000001</v>
      </c>
      <c r="G19" s="80">
        <v>0.0017978667699973623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0.3783481</v>
      </c>
      <c r="D20" s="88">
        <v>-0.0015847281300000002</v>
      </c>
      <c r="E20" s="89">
        <v>0.0015780898674820248</v>
      </c>
      <c r="F20" s="89">
        <v>0.009574362399999998</v>
      </c>
      <c r="G20" s="89">
        <v>0.0006250568598045814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0.5832132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0.5402735360120192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-2.0888129999999996</v>
      </c>
      <c r="I25" s="101" t="s">
        <v>49</v>
      </c>
      <c r="J25" s="102"/>
      <c r="K25" s="101"/>
      <c r="L25" s="104">
        <v>14.439029404084044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8.563746954364174</v>
      </c>
      <c r="I26" s="106" t="s">
        <v>53</v>
      </c>
      <c r="J26" s="107"/>
      <c r="K26" s="106"/>
      <c r="L26" s="109">
        <v>0.4426895920030676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HCMQAP146_pos5ap2res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68</v>
      </c>
      <c r="C1" s="121" t="s">
        <v>72</v>
      </c>
      <c r="D1" s="121" t="s">
        <v>75</v>
      </c>
      <c r="E1" s="121" t="s">
        <v>77</v>
      </c>
      <c r="F1" s="128" t="s">
        <v>80</v>
      </c>
      <c r="G1" s="162" t="s">
        <v>120</v>
      </c>
    </row>
    <row r="2" spans="1:7" ht="13.5" thickBot="1">
      <c r="A2" s="140" t="s">
        <v>89</v>
      </c>
      <c r="B2" s="132">
        <v>-2.2424362000000007</v>
      </c>
      <c r="C2" s="123">
        <v>-3.7482</v>
      </c>
      <c r="D2" s="123">
        <v>-3.7473788999999997</v>
      </c>
      <c r="E2" s="123">
        <v>-3.7472609000000006</v>
      </c>
      <c r="F2" s="129">
        <v>-2.0888129999999996</v>
      </c>
      <c r="G2" s="163">
        <v>3.1163859528888778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8" t="s">
        <v>121</v>
      </c>
    </row>
    <row r="4" spans="1:7" ht="12.75">
      <c r="A4" s="145" t="s">
        <v>90</v>
      </c>
      <c r="B4" s="146">
        <v>4.3041640999999995</v>
      </c>
      <c r="C4" s="147">
        <v>4.1055712</v>
      </c>
      <c r="D4" s="147">
        <v>2.7884329000000005</v>
      </c>
      <c r="E4" s="147">
        <v>3.0053981999999997</v>
      </c>
      <c r="F4" s="152">
        <v>2.2652889000000003</v>
      </c>
      <c r="G4" s="159">
        <v>3.305708991441638</v>
      </c>
    </row>
    <row r="5" spans="1:7" ht="12.75">
      <c r="A5" s="140" t="s">
        <v>92</v>
      </c>
      <c r="B5" s="134">
        <v>0.4431748309</v>
      </c>
      <c r="C5" s="118">
        <v>0.361822056</v>
      </c>
      <c r="D5" s="118">
        <v>0.84349516</v>
      </c>
      <c r="E5" s="118">
        <v>0.269284038</v>
      </c>
      <c r="F5" s="153">
        <v>-1.5373549800000001</v>
      </c>
      <c r="G5" s="160">
        <v>0.21244896941497754</v>
      </c>
    </row>
    <row r="6" spans="1:7" ht="12.75">
      <c r="A6" s="140" t="s">
        <v>94</v>
      </c>
      <c r="B6" s="134">
        <v>-0.53725674</v>
      </c>
      <c r="C6" s="118">
        <v>-0.61492359</v>
      </c>
      <c r="D6" s="118">
        <v>-0.53200696</v>
      </c>
      <c r="E6" s="118">
        <v>-0.34254479</v>
      </c>
      <c r="F6" s="153">
        <v>-0.77909355</v>
      </c>
      <c r="G6" s="160">
        <v>-0.5402715788118967</v>
      </c>
    </row>
    <row r="7" spans="1:7" ht="12.75">
      <c r="A7" s="140" t="s">
        <v>96</v>
      </c>
      <c r="B7" s="133">
        <v>4.2990061</v>
      </c>
      <c r="C7" s="117">
        <v>3.7232738000000003</v>
      </c>
      <c r="D7" s="117">
        <v>3.4317788</v>
      </c>
      <c r="E7" s="117">
        <v>3.3655309000000004</v>
      </c>
      <c r="F7" s="154">
        <v>14.326488000000001</v>
      </c>
      <c r="G7" s="160">
        <v>5.072070279838773</v>
      </c>
    </row>
    <row r="8" spans="1:7" ht="12.75">
      <c r="A8" s="140" t="s">
        <v>98</v>
      </c>
      <c r="B8" s="134">
        <v>0.0011246531999999996</v>
      </c>
      <c r="C8" s="118">
        <v>0.15301494</v>
      </c>
      <c r="D8" s="118">
        <v>0.005516572</v>
      </c>
      <c r="E8" s="118">
        <v>-0.08302583799999999</v>
      </c>
      <c r="F8" s="153">
        <v>-0.39078814000000006</v>
      </c>
      <c r="G8" s="160">
        <v>-0.03407438963753819</v>
      </c>
    </row>
    <row r="9" spans="1:7" ht="12.75">
      <c r="A9" s="140" t="s">
        <v>100</v>
      </c>
      <c r="B9" s="134">
        <v>0.06337376400000001</v>
      </c>
      <c r="C9" s="118">
        <v>0.08946741728999999</v>
      </c>
      <c r="D9" s="118">
        <v>0.22517517000000004</v>
      </c>
      <c r="E9" s="118">
        <v>0.078152446</v>
      </c>
      <c r="F9" s="153">
        <v>-0.14992100600000002</v>
      </c>
      <c r="G9" s="160">
        <v>0.08353430725234916</v>
      </c>
    </row>
    <row r="10" spans="1:7" ht="12.75">
      <c r="A10" s="140" t="s">
        <v>102</v>
      </c>
      <c r="B10" s="134">
        <v>-0.0294183313</v>
      </c>
      <c r="C10" s="118">
        <v>-0.053696759999999996</v>
      </c>
      <c r="D10" s="118">
        <v>-0.14385708</v>
      </c>
      <c r="E10" s="118">
        <v>-0.073885353</v>
      </c>
      <c r="F10" s="153">
        <v>0.0395789787</v>
      </c>
      <c r="G10" s="160">
        <v>-0.06424237862225134</v>
      </c>
    </row>
    <row r="11" spans="1:7" ht="12.75">
      <c r="A11" s="140" t="s">
        <v>104</v>
      </c>
      <c r="B11" s="133">
        <v>-0.28036323999999996</v>
      </c>
      <c r="C11" s="117">
        <v>-0.084150302</v>
      </c>
      <c r="D11" s="117">
        <v>-0.085075567</v>
      </c>
      <c r="E11" s="117">
        <v>-0.111096244</v>
      </c>
      <c r="F11" s="155">
        <v>-0.35108483</v>
      </c>
      <c r="G11" s="160">
        <v>-0.1549096318537716</v>
      </c>
    </row>
    <row r="12" spans="1:7" ht="12.75">
      <c r="A12" s="140" t="s">
        <v>106</v>
      </c>
      <c r="B12" s="134">
        <v>-0.018028283200000002</v>
      </c>
      <c r="C12" s="118">
        <v>-0.0019686397</v>
      </c>
      <c r="D12" s="118">
        <v>0.01490583506</v>
      </c>
      <c r="E12" s="118">
        <v>-0.012849190700000002</v>
      </c>
      <c r="F12" s="153">
        <v>-0.056480268</v>
      </c>
      <c r="G12" s="160">
        <v>-0.010149826827943853</v>
      </c>
    </row>
    <row r="13" spans="1:7" ht="12.75">
      <c r="A13" s="140" t="s">
        <v>108</v>
      </c>
      <c r="B13" s="134">
        <v>-0.008802889</v>
      </c>
      <c r="C13" s="118">
        <v>-0.013393221</v>
      </c>
      <c r="D13" s="118">
        <v>-0.005916253</v>
      </c>
      <c r="E13" s="118">
        <v>-0.004633791</v>
      </c>
      <c r="F13" s="153">
        <v>-0.028273185999999995</v>
      </c>
      <c r="G13" s="160">
        <v>-0.010821323280670437</v>
      </c>
    </row>
    <row r="14" spans="1:7" ht="12.75">
      <c r="A14" s="140" t="s">
        <v>110</v>
      </c>
      <c r="B14" s="134">
        <v>0.037500283</v>
      </c>
      <c r="C14" s="118">
        <v>0.027948633</v>
      </c>
      <c r="D14" s="118">
        <v>0.020539374000000006</v>
      </c>
      <c r="E14" s="118">
        <v>0.032196254</v>
      </c>
      <c r="F14" s="153">
        <v>0.016152714000000002</v>
      </c>
      <c r="G14" s="160">
        <v>0.026981073358191533</v>
      </c>
    </row>
    <row r="15" spans="1:7" ht="12.75">
      <c r="A15" s="140" t="s">
        <v>112</v>
      </c>
      <c r="B15" s="135">
        <v>-0.19172535</v>
      </c>
      <c r="C15" s="120">
        <v>-0.16963694</v>
      </c>
      <c r="D15" s="120">
        <v>-0.16649893</v>
      </c>
      <c r="E15" s="120">
        <v>-0.1677203</v>
      </c>
      <c r="F15" s="153">
        <v>-0.12818299</v>
      </c>
      <c r="G15" s="160">
        <v>-0.16604127786719255</v>
      </c>
    </row>
    <row r="16" spans="1:7" ht="12.75">
      <c r="A16" s="140" t="s">
        <v>114</v>
      </c>
      <c r="B16" s="134">
        <v>-0.00285217548</v>
      </c>
      <c r="C16" s="118">
        <v>-0.00029892395999999994</v>
      </c>
      <c r="D16" s="118">
        <v>0.0031717807</v>
      </c>
      <c r="E16" s="118">
        <v>-0.00017615904399999994</v>
      </c>
      <c r="F16" s="153">
        <v>-0.0015847281300000002</v>
      </c>
      <c r="G16" s="160">
        <v>2.5638810813177108E-05</v>
      </c>
    </row>
    <row r="17" spans="1:7" ht="12.75">
      <c r="A17" s="140" t="s">
        <v>91</v>
      </c>
      <c r="B17" s="133">
        <v>-1.14021912</v>
      </c>
      <c r="C17" s="117">
        <v>-1.7775820999999996</v>
      </c>
      <c r="D17" s="117">
        <v>-1.6197652000000002</v>
      </c>
      <c r="E17" s="117">
        <v>0.48661279999999996</v>
      </c>
      <c r="F17" s="154">
        <v>8.2587062</v>
      </c>
      <c r="G17" s="160">
        <v>0.24302430796085045</v>
      </c>
    </row>
    <row r="18" spans="1:7" ht="12.75">
      <c r="A18" s="140" t="s">
        <v>93</v>
      </c>
      <c r="B18" s="134">
        <v>1.2152584000000002</v>
      </c>
      <c r="C18" s="118">
        <v>0.30213982</v>
      </c>
      <c r="D18" s="118">
        <v>0.5730790499999999</v>
      </c>
      <c r="E18" s="118">
        <v>1.5756964</v>
      </c>
      <c r="F18" s="153">
        <v>-0.72016835</v>
      </c>
      <c r="G18" s="160">
        <v>0.668123364401111</v>
      </c>
    </row>
    <row r="19" spans="1:7" ht="12.75">
      <c r="A19" s="140" t="s">
        <v>95</v>
      </c>
      <c r="B19" s="134">
        <v>-0.73828908</v>
      </c>
      <c r="C19" s="118">
        <v>-0.41176451</v>
      </c>
      <c r="D19" s="118">
        <v>-0.6530345900000001</v>
      </c>
      <c r="E19" s="118">
        <v>0.13279934899999998</v>
      </c>
      <c r="F19" s="153">
        <v>-0.28548728</v>
      </c>
      <c r="G19" s="160">
        <v>-0.3688694518645895</v>
      </c>
    </row>
    <row r="20" spans="1:7" ht="12.75">
      <c r="A20" s="140" t="s">
        <v>97</v>
      </c>
      <c r="B20" s="133">
        <v>0.8224547</v>
      </c>
      <c r="C20" s="117">
        <v>0.42578306</v>
      </c>
      <c r="D20" s="117">
        <v>0.20308800000000002</v>
      </c>
      <c r="E20" s="117">
        <v>0.5775397699999999</v>
      </c>
      <c r="F20" s="156">
        <v>1.7992531</v>
      </c>
      <c r="G20" s="160">
        <v>0.6500390107929672</v>
      </c>
    </row>
    <row r="21" spans="1:7" ht="12.75">
      <c r="A21" s="140" t="s">
        <v>99</v>
      </c>
      <c r="B21" s="134">
        <v>0.0350980122</v>
      </c>
      <c r="C21" s="118">
        <v>-0.112748666</v>
      </c>
      <c r="D21" s="118">
        <v>-0.11514236199999998</v>
      </c>
      <c r="E21" s="118">
        <v>-0.0430595486</v>
      </c>
      <c r="F21" s="153">
        <v>0.5703589499999999</v>
      </c>
      <c r="G21" s="160">
        <v>0.01634999465683545</v>
      </c>
    </row>
    <row r="22" spans="1:7" ht="12.75">
      <c r="A22" s="140" t="s">
        <v>101</v>
      </c>
      <c r="B22" s="134">
        <v>0.00886747027</v>
      </c>
      <c r="C22" s="118">
        <v>-0.093102246</v>
      </c>
      <c r="D22" s="118">
        <v>0.022616592999999997</v>
      </c>
      <c r="E22" s="118">
        <v>0.055230825000000004</v>
      </c>
      <c r="F22" s="153">
        <v>-0.26968643999999997</v>
      </c>
      <c r="G22" s="160">
        <v>-0.03856972883111929</v>
      </c>
    </row>
    <row r="23" spans="1:7" ht="12.75">
      <c r="A23" s="140" t="s">
        <v>103</v>
      </c>
      <c r="B23" s="134">
        <v>0.007215149000000001</v>
      </c>
      <c r="C23" s="118">
        <v>0.04406541916</v>
      </c>
      <c r="D23" s="118">
        <v>0.05315014600000001</v>
      </c>
      <c r="E23" s="118">
        <v>0.091727144</v>
      </c>
      <c r="F23" s="153">
        <v>0.07595152699999999</v>
      </c>
      <c r="G23" s="160">
        <v>0.05668988588681789</v>
      </c>
    </row>
    <row r="24" spans="1:7" ht="12.75">
      <c r="A24" s="140" t="s">
        <v>105</v>
      </c>
      <c r="B24" s="133">
        <v>0.13782457</v>
      </c>
      <c r="C24" s="117">
        <v>0.106689509</v>
      </c>
      <c r="D24" s="117">
        <v>0.062694232</v>
      </c>
      <c r="E24" s="117">
        <v>0.039900936</v>
      </c>
      <c r="F24" s="155">
        <v>0.26965443999999994</v>
      </c>
      <c r="G24" s="160">
        <v>0.10637363006758604</v>
      </c>
    </row>
    <row r="25" spans="1:7" ht="12.75">
      <c r="A25" s="140" t="s">
        <v>107</v>
      </c>
      <c r="B25" s="134">
        <v>0.014045046799999999</v>
      </c>
      <c r="C25" s="118">
        <v>0.017124364</v>
      </c>
      <c r="D25" s="118">
        <v>0.012251563599999998</v>
      </c>
      <c r="E25" s="118">
        <v>-0.006164493679999999</v>
      </c>
      <c r="F25" s="153">
        <v>0.07415919</v>
      </c>
      <c r="G25" s="160">
        <v>0.01755458232276514</v>
      </c>
    </row>
    <row r="26" spans="1:7" ht="12.75">
      <c r="A26" s="140" t="s">
        <v>109</v>
      </c>
      <c r="B26" s="134">
        <v>0.0031249968999999996</v>
      </c>
      <c r="C26" s="118">
        <v>-0.023153040200000002</v>
      </c>
      <c r="D26" s="118">
        <v>0.0012083410000000001</v>
      </c>
      <c r="E26" s="118">
        <v>-0.009461537400000001</v>
      </c>
      <c r="F26" s="153">
        <v>-0.037921831</v>
      </c>
      <c r="G26" s="160">
        <v>-0.012194162385119155</v>
      </c>
    </row>
    <row r="27" spans="1:7" ht="12.75">
      <c r="A27" s="140" t="s">
        <v>111</v>
      </c>
      <c r="B27" s="134">
        <v>0.06542572699999999</v>
      </c>
      <c r="C27" s="118">
        <v>0.040490971</v>
      </c>
      <c r="D27" s="118">
        <v>0.032474171</v>
      </c>
      <c r="E27" s="118">
        <v>0.038215265</v>
      </c>
      <c r="F27" s="153">
        <v>0.03709386299999999</v>
      </c>
      <c r="G27" s="160">
        <v>0.04114905282170705</v>
      </c>
    </row>
    <row r="28" spans="1:7" ht="12.75">
      <c r="A28" s="140" t="s">
        <v>113</v>
      </c>
      <c r="B28" s="134">
        <v>0.020642482</v>
      </c>
      <c r="C28" s="118">
        <v>0.023541174000000005</v>
      </c>
      <c r="D28" s="118">
        <v>0.017254902</v>
      </c>
      <c r="E28" s="118">
        <v>0.017388140000000003</v>
      </c>
      <c r="F28" s="153">
        <v>-0.012038021800000001</v>
      </c>
      <c r="G28" s="160">
        <v>0.015358834386616052</v>
      </c>
    </row>
    <row r="29" spans="1:7" ht="13.5" thickBot="1">
      <c r="A29" s="141" t="s">
        <v>115</v>
      </c>
      <c r="B29" s="136">
        <v>-0.00456568944</v>
      </c>
      <c r="C29" s="119">
        <v>0.0006432622999999999</v>
      </c>
      <c r="D29" s="119">
        <v>-1.875379999999997E-05</v>
      </c>
      <c r="E29" s="119">
        <v>0.002232214953</v>
      </c>
      <c r="F29" s="157">
        <v>0.009574362399999998</v>
      </c>
      <c r="G29" s="161">
        <v>0.0013141234355238934</v>
      </c>
    </row>
    <row r="30" spans="1:7" ht="13.5" thickTop="1">
      <c r="A30" s="142" t="s">
        <v>116</v>
      </c>
      <c r="B30" s="137">
        <v>-0.18125559796154178</v>
      </c>
      <c r="C30" s="126">
        <v>0.05683174831852661</v>
      </c>
      <c r="D30" s="126">
        <v>0.24182886181837862</v>
      </c>
      <c r="E30" s="126">
        <v>0.4315149736280037</v>
      </c>
      <c r="F30" s="122">
        <v>0.5402735360120192</v>
      </c>
      <c r="G30" s="162" t="s">
        <v>127</v>
      </c>
    </row>
    <row r="31" spans="1:7" ht="13.5" thickBot="1">
      <c r="A31" s="143" t="s">
        <v>117</v>
      </c>
      <c r="B31" s="132">
        <v>17.700196</v>
      </c>
      <c r="C31" s="123">
        <v>17.584229</v>
      </c>
      <c r="D31" s="123">
        <v>17.449952</v>
      </c>
      <c r="E31" s="123">
        <v>17.352295</v>
      </c>
      <c r="F31" s="124">
        <v>17.294312</v>
      </c>
      <c r="G31" s="164">
        <v>-209.34</v>
      </c>
    </row>
    <row r="32" spans="1:7" ht="15.75" thickBot="1" thickTop="1">
      <c r="A32" s="144" t="s">
        <v>118</v>
      </c>
      <c r="B32" s="138">
        <v>-0.341499999165535</v>
      </c>
      <c r="C32" s="127">
        <v>0.30799999833106995</v>
      </c>
      <c r="D32" s="127">
        <v>-0.4024999886751175</v>
      </c>
      <c r="E32" s="127">
        <v>0.37550000846385956</v>
      </c>
      <c r="F32" s="125">
        <v>-0.22449999302625656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0.5" style="165" bestFit="1" customWidth="1"/>
    <col min="2" max="2" width="15.33203125" style="165" bestFit="1" customWidth="1"/>
    <col min="3" max="3" width="14.83203125" style="165" bestFit="1" customWidth="1"/>
    <col min="4" max="4" width="16" style="165" bestFit="1" customWidth="1"/>
    <col min="5" max="5" width="22.16015625" style="165" bestFit="1" customWidth="1"/>
    <col min="6" max="7" width="14.8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128</v>
      </c>
      <c r="B1" s="165" t="s">
        <v>129</v>
      </c>
      <c r="C1" s="165" t="s">
        <v>130</v>
      </c>
      <c r="D1" s="165" t="s">
        <v>131</v>
      </c>
      <c r="E1" s="165" t="s">
        <v>28</v>
      </c>
    </row>
    <row r="3" spans="1:7" ht="12.75">
      <c r="A3" s="165" t="s">
        <v>132</v>
      </c>
      <c r="B3" s="165" t="s">
        <v>83</v>
      </c>
      <c r="C3" s="165" t="s">
        <v>84</v>
      </c>
      <c r="D3" s="165" t="s">
        <v>85</v>
      </c>
      <c r="E3" s="165" t="s">
        <v>86</v>
      </c>
      <c r="F3" s="165" t="s">
        <v>87</v>
      </c>
      <c r="G3" s="165" t="s">
        <v>133</v>
      </c>
    </row>
    <row r="4" spans="1:7" ht="12.75">
      <c r="A4" s="165" t="s">
        <v>134</v>
      </c>
      <c r="B4" s="165">
        <f>0.00224*1.0033</f>
        <v>0.002247392</v>
      </c>
      <c r="C4" s="165">
        <f>0.003744*1.0033</f>
        <v>0.0037563552000000004</v>
      </c>
      <c r="D4" s="165">
        <f>0.003743*1.0033</f>
        <v>0.0037553519</v>
      </c>
      <c r="E4" s="165">
        <f>0.003743*1.0033</f>
        <v>0.0037553519</v>
      </c>
      <c r="F4" s="165">
        <f>0.002086*1.0033</f>
        <v>0.0020928838000000005</v>
      </c>
      <c r="G4" s="165">
        <f>0.011666*1.0033</f>
        <v>0.0117044978</v>
      </c>
    </row>
    <row r="5" spans="1:7" ht="12.75">
      <c r="A5" s="165" t="s">
        <v>135</v>
      </c>
      <c r="B5" s="165">
        <v>7.169826</v>
      </c>
      <c r="C5" s="165">
        <v>3.139084</v>
      </c>
      <c r="D5" s="165">
        <v>-0.704423</v>
      </c>
      <c r="E5" s="165">
        <v>-3.340251</v>
      </c>
      <c r="F5" s="165">
        <v>-5.996919</v>
      </c>
      <c r="G5" s="165">
        <v>3.806679</v>
      </c>
    </row>
    <row r="6" spans="1:7" ht="12.75">
      <c r="A6" s="165" t="s">
        <v>136</v>
      </c>
      <c r="B6" s="166">
        <v>5.668658</v>
      </c>
      <c r="C6" s="166">
        <v>-4.227577</v>
      </c>
      <c r="D6" s="166">
        <v>24.35923</v>
      </c>
      <c r="E6" s="166">
        <v>2.4791</v>
      </c>
      <c r="F6" s="166">
        <v>-46.6697</v>
      </c>
      <c r="G6" s="166">
        <v>-0.002077574</v>
      </c>
    </row>
    <row r="7" spans="1:7" ht="12.75">
      <c r="A7" s="165" t="s">
        <v>137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138</v>
      </c>
      <c r="B8" s="166">
        <v>4.340403</v>
      </c>
      <c r="C8" s="166">
        <v>4.113814</v>
      </c>
      <c r="D8" s="166">
        <v>2.768799</v>
      </c>
      <c r="E8" s="166">
        <v>2.989083</v>
      </c>
      <c r="F8" s="166">
        <v>2.394625</v>
      </c>
      <c r="G8" s="166">
        <v>3.321625</v>
      </c>
    </row>
    <row r="9" spans="1:7" ht="12.75">
      <c r="A9" s="165" t="s">
        <v>92</v>
      </c>
      <c r="B9" s="166">
        <v>0.3611343</v>
      </c>
      <c r="C9" s="166">
        <v>0.3535463</v>
      </c>
      <c r="D9" s="166">
        <v>0.8565499</v>
      </c>
      <c r="E9" s="166">
        <v>0.2858979</v>
      </c>
      <c r="F9" s="166">
        <v>-1.580418</v>
      </c>
      <c r="G9" s="166">
        <v>0.2000682</v>
      </c>
    </row>
    <row r="10" spans="1:7" ht="12.75">
      <c r="A10" s="165" t="s">
        <v>94</v>
      </c>
      <c r="B10" s="166">
        <v>-0.4377312</v>
      </c>
      <c r="C10" s="166">
        <v>-0.6072903</v>
      </c>
      <c r="D10" s="166">
        <v>-0.495201</v>
      </c>
      <c r="E10" s="166">
        <v>-0.3375918</v>
      </c>
      <c r="F10" s="166">
        <v>-1.057581</v>
      </c>
      <c r="G10" s="166">
        <v>-0.5514236</v>
      </c>
    </row>
    <row r="11" spans="1:7" ht="12.75">
      <c r="A11" s="165" t="s">
        <v>96</v>
      </c>
      <c r="B11" s="166">
        <v>4.262519</v>
      </c>
      <c r="C11" s="166">
        <v>3.713274</v>
      </c>
      <c r="D11" s="166">
        <v>3.437266</v>
      </c>
      <c r="E11" s="166">
        <v>3.376311</v>
      </c>
      <c r="F11" s="166">
        <v>14.41564</v>
      </c>
      <c r="G11" s="166">
        <v>5.080164</v>
      </c>
    </row>
    <row r="12" spans="1:7" ht="12.75">
      <c r="A12" s="165" t="s">
        <v>98</v>
      </c>
      <c r="B12" s="166">
        <v>-0.01568873</v>
      </c>
      <c r="C12" s="166">
        <v>0.1495842</v>
      </c>
      <c r="D12" s="166">
        <v>0.003272713</v>
      </c>
      <c r="E12" s="166">
        <v>-0.08994981</v>
      </c>
      <c r="F12" s="166">
        <v>-0.3944263</v>
      </c>
      <c r="G12" s="166">
        <v>-0.04000539</v>
      </c>
    </row>
    <row r="13" spans="1:7" ht="12.75">
      <c r="A13" s="165" t="s">
        <v>100</v>
      </c>
      <c r="B13" s="166">
        <v>0.06419429</v>
      </c>
      <c r="C13" s="166">
        <v>0.09185296</v>
      </c>
      <c r="D13" s="166">
        <v>0.2187572</v>
      </c>
      <c r="E13" s="166">
        <v>0.07729736</v>
      </c>
      <c r="F13" s="166">
        <v>-0.15993</v>
      </c>
      <c r="G13" s="166">
        <v>0.08113553</v>
      </c>
    </row>
    <row r="14" spans="1:7" ht="12.75">
      <c r="A14" s="165" t="s">
        <v>102</v>
      </c>
      <c r="B14" s="166">
        <v>-0.01206772</v>
      </c>
      <c r="C14" s="166">
        <v>-0.05051171</v>
      </c>
      <c r="D14" s="166">
        <v>-0.1475051</v>
      </c>
      <c r="E14" s="166">
        <v>-0.06956722</v>
      </c>
      <c r="F14" s="166">
        <v>0.08414664</v>
      </c>
      <c r="G14" s="166">
        <v>-0.05483657</v>
      </c>
    </row>
    <row r="15" spans="1:7" ht="12.75">
      <c r="A15" s="165" t="s">
        <v>104</v>
      </c>
      <c r="B15" s="166">
        <v>-0.2915792</v>
      </c>
      <c r="C15" s="166">
        <v>-0.08849473</v>
      </c>
      <c r="D15" s="166">
        <v>-0.08652413</v>
      </c>
      <c r="E15" s="166">
        <v>-0.1107613</v>
      </c>
      <c r="F15" s="166">
        <v>-0.3314033</v>
      </c>
      <c r="G15" s="166">
        <v>-0.1551825</v>
      </c>
    </row>
    <row r="16" spans="1:7" ht="12.75">
      <c r="A16" s="165" t="s">
        <v>106</v>
      </c>
      <c r="B16" s="166">
        <v>-0.02882154</v>
      </c>
      <c r="C16" s="166">
        <v>-0.00687381</v>
      </c>
      <c r="D16" s="166">
        <v>0.01062631</v>
      </c>
      <c r="E16" s="166">
        <v>-0.01687361</v>
      </c>
      <c r="F16" s="166">
        <v>-0.06694505</v>
      </c>
      <c r="G16" s="166">
        <v>-0.01628266</v>
      </c>
    </row>
    <row r="17" spans="1:7" ht="12.75">
      <c r="A17" s="165" t="s">
        <v>108</v>
      </c>
      <c r="B17" s="166">
        <v>-0.0008981171</v>
      </c>
      <c r="C17" s="166">
        <v>-0.01209785</v>
      </c>
      <c r="D17" s="166">
        <v>-0.008182259</v>
      </c>
      <c r="E17" s="166">
        <v>-0.005953154</v>
      </c>
      <c r="F17" s="166">
        <v>-0.02914521</v>
      </c>
      <c r="G17" s="166">
        <v>-0.01035249</v>
      </c>
    </row>
    <row r="18" spans="1:7" ht="12.75">
      <c r="A18" s="165" t="s">
        <v>110</v>
      </c>
      <c r="B18" s="166">
        <v>0.03187398</v>
      </c>
      <c r="C18" s="166">
        <v>0.02695657</v>
      </c>
      <c r="D18" s="166">
        <v>0.01889351</v>
      </c>
      <c r="E18" s="166">
        <v>0.03369236</v>
      </c>
      <c r="F18" s="166">
        <v>0.02232907</v>
      </c>
      <c r="G18" s="166">
        <v>0.02673009</v>
      </c>
    </row>
    <row r="19" spans="1:7" ht="12.75">
      <c r="A19" s="165" t="s">
        <v>112</v>
      </c>
      <c r="B19" s="166">
        <v>-0.1928382</v>
      </c>
      <c r="C19" s="166">
        <v>-0.1704967</v>
      </c>
      <c r="D19" s="166">
        <v>-0.1663107</v>
      </c>
      <c r="E19" s="166">
        <v>-0.1667101</v>
      </c>
      <c r="F19" s="166">
        <v>-0.1286664</v>
      </c>
      <c r="G19" s="166">
        <v>-0.1661832</v>
      </c>
    </row>
    <row r="20" spans="1:7" ht="12.75">
      <c r="A20" s="165" t="s">
        <v>114</v>
      </c>
      <c r="B20" s="166">
        <v>-0.002331522</v>
      </c>
      <c r="C20" s="166">
        <v>-0.0003320903</v>
      </c>
      <c r="D20" s="166">
        <v>0.003164262</v>
      </c>
      <c r="E20" s="166">
        <v>-7.002259E-05</v>
      </c>
      <c r="F20" s="166">
        <v>-0.0007248034</v>
      </c>
      <c r="G20" s="166">
        <v>0.0002319391</v>
      </c>
    </row>
    <row r="21" spans="1:7" ht="12.75">
      <c r="A21" s="165" t="s">
        <v>139</v>
      </c>
      <c r="B21" s="166">
        <v>-95.20353</v>
      </c>
      <c r="C21" s="166">
        <v>-13.85941</v>
      </c>
      <c r="D21" s="166">
        <v>81.39482</v>
      </c>
      <c r="E21" s="166">
        <v>25.21623</v>
      </c>
      <c r="F21" s="166">
        <v>-64.17915</v>
      </c>
      <c r="G21" s="166">
        <v>0.003135421</v>
      </c>
    </row>
    <row r="22" spans="1:7" ht="12.75">
      <c r="A22" s="165" t="s">
        <v>140</v>
      </c>
      <c r="B22" s="166">
        <v>143.4064</v>
      </c>
      <c r="C22" s="166">
        <v>62.78251</v>
      </c>
      <c r="D22" s="166">
        <v>-14.08847</v>
      </c>
      <c r="E22" s="166">
        <v>-66.806</v>
      </c>
      <c r="F22" s="166">
        <v>-119.9441</v>
      </c>
      <c r="G22" s="166">
        <v>0</v>
      </c>
    </row>
    <row r="23" spans="1:7" ht="12.75">
      <c r="A23" s="165" t="s">
        <v>91</v>
      </c>
      <c r="B23" s="166">
        <v>-1.047865</v>
      </c>
      <c r="C23" s="166">
        <v>-1.740252</v>
      </c>
      <c r="D23" s="166">
        <v>-1.600373</v>
      </c>
      <c r="E23" s="166">
        <v>0.4598364</v>
      </c>
      <c r="F23" s="166">
        <v>8.260141</v>
      </c>
      <c r="G23" s="166">
        <v>0.2634741</v>
      </c>
    </row>
    <row r="24" spans="1:7" ht="12.75">
      <c r="A24" s="165" t="s">
        <v>93</v>
      </c>
      <c r="B24" s="166">
        <v>1.24696</v>
      </c>
      <c r="C24" s="166">
        <v>0.3107806</v>
      </c>
      <c r="D24" s="166">
        <v>0.5477505</v>
      </c>
      <c r="E24" s="166">
        <v>1.567478</v>
      </c>
      <c r="F24" s="166">
        <v>-0.6454122</v>
      </c>
      <c r="G24" s="166">
        <v>0.676723</v>
      </c>
    </row>
    <row r="25" spans="1:7" ht="12.75">
      <c r="A25" s="165" t="s">
        <v>95</v>
      </c>
      <c r="B25" s="166">
        <v>-0.9657462</v>
      </c>
      <c r="C25" s="166">
        <v>-0.4498628</v>
      </c>
      <c r="D25" s="166">
        <v>-0.5101636</v>
      </c>
      <c r="E25" s="166">
        <v>0.1803679</v>
      </c>
      <c r="F25" s="166">
        <v>-0.7627026</v>
      </c>
      <c r="G25" s="166">
        <v>-0.4289361</v>
      </c>
    </row>
    <row r="26" spans="1:7" ht="12.75">
      <c r="A26" s="165" t="s">
        <v>97</v>
      </c>
      <c r="B26" s="166">
        <v>1.012392</v>
      </c>
      <c r="C26" s="166">
        <v>0.4972141</v>
      </c>
      <c r="D26" s="166">
        <v>0.1899879</v>
      </c>
      <c r="E26" s="166">
        <v>0.5107747</v>
      </c>
      <c r="F26" s="166">
        <v>1.289835</v>
      </c>
      <c r="G26" s="166">
        <v>0.6067033</v>
      </c>
    </row>
    <row r="27" spans="1:7" ht="12.75">
      <c r="A27" s="165" t="s">
        <v>99</v>
      </c>
      <c r="B27" s="166">
        <v>0.03916798</v>
      </c>
      <c r="C27" s="166">
        <v>-0.105035</v>
      </c>
      <c r="D27" s="166">
        <v>-0.09743402</v>
      </c>
      <c r="E27" s="166">
        <v>-0.03580457</v>
      </c>
      <c r="F27" s="166">
        <v>0.6099491</v>
      </c>
      <c r="G27" s="166">
        <v>0.03010097</v>
      </c>
    </row>
    <row r="28" spans="1:7" ht="12.75">
      <c r="A28" s="165" t="s">
        <v>101</v>
      </c>
      <c r="B28" s="166">
        <v>0.006160028</v>
      </c>
      <c r="C28" s="166">
        <v>-0.09265494</v>
      </c>
      <c r="D28" s="166">
        <v>0.01085541</v>
      </c>
      <c r="E28" s="166">
        <v>0.04990116</v>
      </c>
      <c r="F28" s="166">
        <v>-0.2777237</v>
      </c>
      <c r="G28" s="166">
        <v>-0.04404593</v>
      </c>
    </row>
    <row r="29" spans="1:7" ht="12.75">
      <c r="A29" s="165" t="s">
        <v>103</v>
      </c>
      <c r="B29" s="166">
        <v>0.02849219</v>
      </c>
      <c r="C29" s="166">
        <v>0.04226737</v>
      </c>
      <c r="D29" s="166">
        <v>0.04861009</v>
      </c>
      <c r="E29" s="166">
        <v>0.09117537</v>
      </c>
      <c r="F29" s="166">
        <v>0.07941835</v>
      </c>
      <c r="G29" s="166">
        <v>0.05856527</v>
      </c>
    </row>
    <row r="30" spans="1:7" ht="12.75">
      <c r="A30" s="165" t="s">
        <v>105</v>
      </c>
      <c r="B30" s="166">
        <v>0.1212206</v>
      </c>
      <c r="C30" s="166">
        <v>0.104525</v>
      </c>
      <c r="D30" s="166">
        <v>0.06526948</v>
      </c>
      <c r="E30" s="166">
        <v>0.04350411</v>
      </c>
      <c r="F30" s="166">
        <v>0.2918735</v>
      </c>
      <c r="G30" s="166">
        <v>0.1079417</v>
      </c>
    </row>
    <row r="31" spans="1:7" ht="12.75">
      <c r="A31" s="165" t="s">
        <v>107</v>
      </c>
      <c r="B31" s="166">
        <v>0.01385097</v>
      </c>
      <c r="C31" s="166">
        <v>0.01738218</v>
      </c>
      <c r="D31" s="166">
        <v>0.01172334</v>
      </c>
      <c r="E31" s="166">
        <v>-0.006065941</v>
      </c>
      <c r="F31" s="166">
        <v>0.08512985</v>
      </c>
      <c r="G31" s="166">
        <v>0.01895759</v>
      </c>
    </row>
    <row r="32" spans="1:7" ht="12.75">
      <c r="A32" s="165" t="s">
        <v>109</v>
      </c>
      <c r="B32" s="166">
        <v>-0.002476789</v>
      </c>
      <c r="C32" s="166">
        <v>-0.02486036</v>
      </c>
      <c r="D32" s="166">
        <v>0.003357883</v>
      </c>
      <c r="E32" s="166">
        <v>-0.008767986</v>
      </c>
      <c r="F32" s="166">
        <v>-0.04193349</v>
      </c>
      <c r="G32" s="166">
        <v>-0.0132639</v>
      </c>
    </row>
    <row r="33" spans="1:7" ht="12.75">
      <c r="A33" s="165" t="s">
        <v>111</v>
      </c>
      <c r="B33" s="166">
        <v>0.07577511</v>
      </c>
      <c r="C33" s="166">
        <v>0.04247709</v>
      </c>
      <c r="D33" s="166">
        <v>0.02695884</v>
      </c>
      <c r="E33" s="166">
        <v>0.03507399</v>
      </c>
      <c r="F33" s="166">
        <v>0.03917267</v>
      </c>
      <c r="G33" s="166">
        <v>0.04130919</v>
      </c>
    </row>
    <row r="34" spans="1:7" ht="12.75">
      <c r="A34" s="165" t="s">
        <v>113</v>
      </c>
      <c r="B34" s="166">
        <v>0.001368143</v>
      </c>
      <c r="C34" s="166">
        <v>0.01607509</v>
      </c>
      <c r="D34" s="166">
        <v>0.01892285</v>
      </c>
      <c r="E34" s="166">
        <v>0.02521771</v>
      </c>
      <c r="F34" s="166">
        <v>-0.00123398</v>
      </c>
      <c r="G34" s="166">
        <v>0.01454561</v>
      </c>
    </row>
    <row r="35" spans="1:7" ht="12.75">
      <c r="A35" s="165" t="s">
        <v>115</v>
      </c>
      <c r="B35" s="166">
        <v>-0.004845723</v>
      </c>
      <c r="C35" s="166">
        <v>0.00062826</v>
      </c>
      <c r="D35" s="166">
        <v>-5.299512E-05</v>
      </c>
      <c r="E35" s="166">
        <v>0.002237251</v>
      </c>
      <c r="F35" s="166">
        <v>0.0096767</v>
      </c>
      <c r="G35" s="166">
        <v>0.001276751</v>
      </c>
    </row>
    <row r="36" spans="1:6" ht="12.75">
      <c r="A36" s="165" t="s">
        <v>141</v>
      </c>
      <c r="B36" s="166">
        <v>17.29431</v>
      </c>
      <c r="C36" s="166">
        <v>17.30957</v>
      </c>
      <c r="D36" s="166">
        <v>17.33398</v>
      </c>
      <c r="E36" s="166">
        <v>17.34924</v>
      </c>
      <c r="F36" s="166">
        <v>17.37061</v>
      </c>
    </row>
    <row r="37" spans="1:6" ht="12.75">
      <c r="A37" s="165" t="s">
        <v>142</v>
      </c>
      <c r="B37" s="166">
        <v>-0.2349854</v>
      </c>
      <c r="C37" s="166">
        <v>-0.223287</v>
      </c>
      <c r="D37" s="166">
        <v>-0.2161662</v>
      </c>
      <c r="E37" s="166">
        <v>-0.2075195</v>
      </c>
      <c r="F37" s="166">
        <v>-0.201416</v>
      </c>
    </row>
    <row r="38" spans="1:7" ht="12.75">
      <c r="A38" s="165" t="s">
        <v>143</v>
      </c>
      <c r="B38" s="166">
        <v>0</v>
      </c>
      <c r="C38" s="166">
        <v>0</v>
      </c>
      <c r="D38" s="166">
        <v>-4.121567E-05</v>
      </c>
      <c r="E38" s="166">
        <v>0</v>
      </c>
      <c r="F38" s="166">
        <v>7.801861E-05</v>
      </c>
      <c r="G38" s="166">
        <v>0.0003005877</v>
      </c>
    </row>
    <row r="39" spans="1:7" ht="12.75">
      <c r="A39" s="165" t="s">
        <v>144</v>
      </c>
      <c r="B39" s="166">
        <v>0.0001619509</v>
      </c>
      <c r="C39" s="166">
        <v>2.351495E-05</v>
      </c>
      <c r="D39" s="166">
        <v>-0.0001384293</v>
      </c>
      <c r="E39" s="166">
        <v>-4.289384E-05</v>
      </c>
      <c r="F39" s="166">
        <v>0.0001100403</v>
      </c>
      <c r="G39" s="166">
        <v>0.0004730174</v>
      </c>
    </row>
    <row r="40" spans="2:5" ht="12.75">
      <c r="B40" s="165" t="s">
        <v>145</v>
      </c>
      <c r="C40" s="165">
        <v>-0.003743</v>
      </c>
      <c r="D40" s="165" t="s">
        <v>146</v>
      </c>
      <c r="E40" s="165">
        <v>3.116384</v>
      </c>
    </row>
    <row r="42" ht="12.75">
      <c r="A42" s="165" t="s">
        <v>147</v>
      </c>
    </row>
    <row r="50" spans="1:7" ht="12.75">
      <c r="A50" s="165" t="s">
        <v>148</v>
      </c>
      <c r="B50" s="165">
        <f>-0.017/(B7*B7+B22*B22)*(B21*B22+B6*B7)</f>
        <v>-7.3142391620034175E-06</v>
      </c>
      <c r="C50" s="165">
        <f>-0.017/(C7*C7+C22*C22)*(C21*C22+C6*C7)</f>
        <v>7.3345136525910645E-06</v>
      </c>
      <c r="D50" s="165">
        <f>-0.017/(D7*D7+D22*D22)*(D21*D22+D6*D7)</f>
        <v>-4.1215665351538694E-05</v>
      </c>
      <c r="E50" s="165">
        <f>-0.017/(E7*E7+E22*E22)*(E21*E22+E6*E7)</f>
        <v>-3.927913467151935E-06</v>
      </c>
      <c r="F50" s="165">
        <f>-0.017/(F7*F7+F22*F22)*(F21*F22+F6*F7)</f>
        <v>7.801862101757617E-05</v>
      </c>
      <c r="G50" s="165">
        <f>(B50*B$4+C50*C$4+D50*D$4+E50*E$4+F50*F$4)/SUM(B$4:F$4)</f>
        <v>3.118379607044354E-07</v>
      </c>
    </row>
    <row r="51" spans="1:7" ht="12.75">
      <c r="A51" s="165" t="s">
        <v>149</v>
      </c>
      <c r="B51" s="165">
        <f>-0.017/(B7*B7+B22*B22)*(B21*B7-B6*B22)</f>
        <v>0.0001619508918706962</v>
      </c>
      <c r="C51" s="165">
        <f>-0.017/(C7*C7+C22*C22)*(C21*C7-C6*C22)</f>
        <v>2.351494908232611E-05</v>
      </c>
      <c r="D51" s="165">
        <f>-0.017/(D7*D7+D22*D22)*(D21*D7-D6*D22)</f>
        <v>-0.0001384292605664835</v>
      </c>
      <c r="E51" s="165">
        <f>-0.017/(E7*E7+E22*E22)*(E21*E7-E6*E22)</f>
        <v>-4.289383181870865E-05</v>
      </c>
      <c r="F51" s="165">
        <f>-0.017/(F7*F7+F22*F22)*(F21*F7-F6*F22)</f>
        <v>0.00011004034232811946</v>
      </c>
      <c r="G51" s="165">
        <f>(B51*B$4+C51*C$4+D51*D$4+E51*E$4+F51*F$4)/SUM(B$4:F$4)</f>
        <v>1.0682607696525335E-07</v>
      </c>
    </row>
    <row r="58" ht="12.75">
      <c r="A58" s="165" t="s">
        <v>151</v>
      </c>
    </row>
    <row r="60" spans="2:6" ht="12.75">
      <c r="B60" s="165" t="s">
        <v>83</v>
      </c>
      <c r="C60" s="165" t="s">
        <v>84</v>
      </c>
      <c r="D60" s="165" t="s">
        <v>85</v>
      </c>
      <c r="E60" s="165" t="s">
        <v>86</v>
      </c>
      <c r="F60" s="165" t="s">
        <v>87</v>
      </c>
    </row>
    <row r="61" spans="1:6" ht="12.75">
      <c r="A61" s="165" t="s">
        <v>153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156</v>
      </c>
      <c r="B62" s="165">
        <f>B7+(2/0.017)*(B8*B50-B23*B51)</f>
        <v>10000.016230108908</v>
      </c>
      <c r="C62" s="165">
        <f>C7+(2/0.017)*(C8*C50-C23*C51)</f>
        <v>10000.008364089661</v>
      </c>
      <c r="D62" s="165">
        <f>D7+(2/0.017)*(D8*D50-D23*D51)</f>
        <v>9999.96051101835</v>
      </c>
      <c r="E62" s="165">
        <f>E7+(2/0.017)*(E8*E50-E23*E51)</f>
        <v>10000.000939210098</v>
      </c>
      <c r="F62" s="165">
        <f>F7+(2/0.017)*(F8*F50-F23*F51)</f>
        <v>9999.915044305533</v>
      </c>
    </row>
    <row r="63" spans="1:6" ht="12.75">
      <c r="A63" s="165" t="s">
        <v>157</v>
      </c>
      <c r="B63" s="165">
        <f>B8+(3/0.017)*(B9*B50-B24*B51)</f>
        <v>4.304299287041138</v>
      </c>
      <c r="C63" s="165">
        <f>C8+(3/0.017)*(C9*C50-C24*C51)</f>
        <v>4.112981958855188</v>
      </c>
      <c r="D63" s="165">
        <f>D8+(3/0.017)*(D9*D50-D24*D51)</f>
        <v>2.775949839291993</v>
      </c>
      <c r="E63" s="165">
        <f>E8+(3/0.017)*(E9*E50-E24*E51)</f>
        <v>3.000749850970568</v>
      </c>
      <c r="F63" s="165">
        <f>F8+(3/0.017)*(F9*F50-F24*F51)</f>
        <v>2.3853990023128335</v>
      </c>
    </row>
    <row r="64" spans="1:6" ht="12.75">
      <c r="A64" s="165" t="s">
        <v>158</v>
      </c>
      <c r="B64" s="165">
        <f>B9+(4/0.017)*(B10*B50-B25*B51)</f>
        <v>0.3986884480226368</v>
      </c>
      <c r="C64" s="165">
        <f>C9+(4/0.017)*(C10*C50-C25*C51)</f>
        <v>0.35498731690343444</v>
      </c>
      <c r="D64" s="165">
        <f>D9+(4/0.017)*(D10*D50-D25*D51)</f>
        <v>0.8447354220663087</v>
      </c>
      <c r="E64" s="165">
        <f>E9+(4/0.017)*(E10*E50-E25*E51)</f>
        <v>0.28803030041075617</v>
      </c>
      <c r="F64" s="165">
        <f>F9+(4/0.017)*(F10*F50-F25*F51)</f>
        <v>-1.5800845778907866</v>
      </c>
    </row>
    <row r="65" spans="1:6" ht="12.75">
      <c r="A65" s="165" t="s">
        <v>159</v>
      </c>
      <c r="B65" s="165">
        <f>B10+(5/0.017)*(B11*B50-B26*B51)</f>
        <v>-0.49512380903568864</v>
      </c>
      <c r="C65" s="165">
        <f>C10+(5/0.017)*(C11*C50-C26*C51)</f>
        <v>-0.6027188015869714</v>
      </c>
      <c r="D65" s="165">
        <f>D10+(5/0.017)*(D11*D50-D26*D51)</f>
        <v>-0.529133153137248</v>
      </c>
      <c r="E65" s="165">
        <f>E10+(5/0.017)*(E11*E50-E26*E51)</f>
        <v>-0.33504849804915937</v>
      </c>
      <c r="F65" s="165">
        <f>F10+(5/0.017)*(F11*F50-F26*F51)</f>
        <v>-0.7685355679591114</v>
      </c>
    </row>
    <row r="66" spans="1:6" ht="12.75">
      <c r="A66" s="165" t="s">
        <v>160</v>
      </c>
      <c r="B66" s="165">
        <f>B11+(6/0.017)*(B12*B50-B27*B51)</f>
        <v>4.2603206924104455</v>
      </c>
      <c r="C66" s="165">
        <f>C11+(6/0.017)*(C12*C50-C27*C51)</f>
        <v>3.7145329482472853</v>
      </c>
      <c r="D66" s="165">
        <f>D11+(6/0.017)*(D12*D50-D27*D51)</f>
        <v>3.4324580212753815</v>
      </c>
      <c r="E66" s="165">
        <f>E11+(6/0.017)*(E12*E50-E27*E51)</f>
        <v>3.375893654070404</v>
      </c>
      <c r="F66" s="165">
        <f>F11+(6/0.017)*(F12*F50-F27*F51)</f>
        <v>14.381090022193249</v>
      </c>
    </row>
    <row r="67" spans="1:6" ht="12.75">
      <c r="A67" s="165" t="s">
        <v>161</v>
      </c>
      <c r="B67" s="165">
        <f>B12+(7/0.017)*(B13*B50-B28*B51)</f>
        <v>-0.016292852407594368</v>
      </c>
      <c r="C67" s="165">
        <f>C12+(7/0.017)*(C13*C50-C28*C51)</f>
        <v>0.15075874769990225</v>
      </c>
      <c r="D67" s="165">
        <f>D12+(7/0.017)*(D13*D50-D28*D51)</f>
        <v>0.00017891181276733685</v>
      </c>
      <c r="E67" s="165">
        <f>E12+(7/0.017)*(E13*E50-E28*E51)</f>
        <v>-0.08919346633159093</v>
      </c>
      <c r="F67" s="165">
        <f>F12+(7/0.017)*(F13*F50-F28*F51)</f>
        <v>-0.3869802381924096</v>
      </c>
    </row>
    <row r="68" spans="1:6" ht="12.75">
      <c r="A68" s="165" t="s">
        <v>162</v>
      </c>
      <c r="B68" s="165">
        <f>B13+(8/0.017)*(B14*B50-B29*B51)</f>
        <v>0.06206437499217447</v>
      </c>
      <c r="C68" s="165">
        <f>C13+(8/0.017)*(C14*C50-C29*C51)</f>
        <v>0.09121089229176256</v>
      </c>
      <c r="D68" s="165">
        <f>D13+(8/0.017)*(D14*D50-D29*D51)</f>
        <v>0.2247847668960073</v>
      </c>
      <c r="E68" s="165">
        <f>E13+(8/0.017)*(E14*E50-E29*E51)</f>
        <v>0.07926635529745828</v>
      </c>
      <c r="F68" s="165">
        <f>F13+(8/0.017)*(F14*F50-F29*F51)</f>
        <v>-0.1609531612259162</v>
      </c>
    </row>
    <row r="69" spans="1:6" ht="12.75">
      <c r="A69" s="165" t="s">
        <v>163</v>
      </c>
      <c r="B69" s="165">
        <f>B14+(9/0.017)*(B15*B50-B30*B51)</f>
        <v>-0.021331951677453977</v>
      </c>
      <c r="C69" s="165">
        <f>C14+(9/0.017)*(C15*C50-C30*C51)</f>
        <v>-0.052156574277869266</v>
      </c>
      <c r="D69" s="165">
        <f>D14+(9/0.017)*(D15*D50-D30*D51)</f>
        <v>-0.14083379417836192</v>
      </c>
      <c r="E69" s="165">
        <f>E14+(9/0.017)*(E15*E50-E30*E51)</f>
        <v>-0.06834898064605607</v>
      </c>
      <c r="F69" s="165">
        <f>F14+(9/0.017)*(F15*F50-F30*F51)</f>
        <v>0.05345479324066915</v>
      </c>
    </row>
    <row r="70" spans="1:6" ht="12.75">
      <c r="A70" s="165" t="s">
        <v>164</v>
      </c>
      <c r="B70" s="165">
        <f>B15+(10/0.017)*(B16*B50-B31*B51)</f>
        <v>-0.29277471135776295</v>
      </c>
      <c r="C70" s="165">
        <f>C15+(10/0.017)*(C16*C50-C31*C51)</f>
        <v>-0.08876482242995891</v>
      </c>
      <c r="D70" s="165">
        <f>D15+(10/0.017)*(D16*D50-D31*D51)</f>
        <v>-0.08582714008783073</v>
      </c>
      <c r="E70" s="165">
        <f>E15+(10/0.017)*(E16*E50-E31*E51)</f>
        <v>-0.11087536669006925</v>
      </c>
      <c r="F70" s="165">
        <f>F15+(10/0.017)*(F16*F50-F31*F51)</f>
        <v>-0.33998605195370246</v>
      </c>
    </row>
    <row r="71" spans="1:6" ht="12.75">
      <c r="A71" s="165" t="s">
        <v>165</v>
      </c>
      <c r="B71" s="165">
        <f>B16+(11/0.017)*(B17*B50-B32*B51)</f>
        <v>-0.02855774238007679</v>
      </c>
      <c r="C71" s="165">
        <f>C16+(11/0.017)*(C17*C50-C32*C51)</f>
        <v>-0.0065529605418035725</v>
      </c>
      <c r="D71" s="165">
        <f>D16+(11/0.017)*(D17*D50-D32*D51)</f>
        <v>0.011145294212043893</v>
      </c>
      <c r="E71" s="165">
        <f>E16+(11/0.017)*(E17*E50-E32*E51)</f>
        <v>-0.017101833498479165</v>
      </c>
      <c r="F71" s="165">
        <f>F16+(11/0.017)*(F17*F50-F32*F51)</f>
        <v>-0.06543060461690611</v>
      </c>
    </row>
    <row r="72" spans="1:6" ht="12.75">
      <c r="A72" s="165" t="s">
        <v>166</v>
      </c>
      <c r="B72" s="165">
        <f>B17+(12/0.017)*(B18*B50-B33*B51)</f>
        <v>-0.009725162200375313</v>
      </c>
      <c r="C72" s="165">
        <f>C17+(12/0.017)*(C18*C50-C33*C51)</f>
        <v>-0.012663355843169428</v>
      </c>
      <c r="D72" s="165">
        <f>D17+(12/0.017)*(D18*D50-D33*D51)</f>
        <v>-0.006097658740149985</v>
      </c>
      <c r="E72" s="165">
        <f>E17+(12/0.017)*(E18*E50-E33*E51)</f>
        <v>-0.004984600715044515</v>
      </c>
      <c r="F72" s="165">
        <f>F17+(12/0.017)*(F18*F50-F33*F51)</f>
        <v>-0.03095826230590696</v>
      </c>
    </row>
    <row r="73" spans="1:6" ht="12.75">
      <c r="A73" s="165" t="s">
        <v>167</v>
      </c>
      <c r="B73" s="165">
        <f>B18+(13/0.017)*(B19*B50-B34*B51)</f>
        <v>0.03278313326818099</v>
      </c>
      <c r="C73" s="165">
        <f>C18+(13/0.017)*(C19*C50-C34*C51)</f>
        <v>0.025711234773099886</v>
      </c>
      <c r="D73" s="165">
        <f>D18+(13/0.017)*(D19*D50-D34*D51)</f>
        <v>0.02613839645621048</v>
      </c>
      <c r="E73" s="165">
        <f>E18+(13/0.017)*(E19*E50-E34*E51)</f>
        <v>0.03502027716237716</v>
      </c>
      <c r="F73" s="165">
        <f>F18+(13/0.017)*(F19*F50-F34*F51)</f>
        <v>0.014756503074723088</v>
      </c>
    </row>
    <row r="74" spans="1:6" ht="12.75">
      <c r="A74" s="165" t="s">
        <v>168</v>
      </c>
      <c r="B74" s="165">
        <f>B19+(14/0.017)*(B20*B50-B35*B51)</f>
        <v>-0.19217787561201238</v>
      </c>
      <c r="C74" s="165">
        <f>C19+(14/0.017)*(C20*C50-C35*C51)</f>
        <v>-0.170510872301088</v>
      </c>
      <c r="D74" s="165">
        <f>D19+(14/0.017)*(D20*D50-D35*D51)</f>
        <v>-0.1664241438438427</v>
      </c>
      <c r="E74" s="165">
        <f>E19+(14/0.017)*(E20*E50-E35*E51)</f>
        <v>-0.16663084409698453</v>
      </c>
      <c r="F74" s="165">
        <f>F19+(14/0.017)*(F20*F50-F35*F51)</f>
        <v>-0.12958988574078628</v>
      </c>
    </row>
    <row r="75" spans="1:6" ht="12.75">
      <c r="A75" s="165" t="s">
        <v>169</v>
      </c>
      <c r="B75" s="166">
        <f>B20</f>
        <v>-0.002331522</v>
      </c>
      <c r="C75" s="166">
        <f>C20</f>
        <v>-0.0003320903</v>
      </c>
      <c r="D75" s="166">
        <f>D20</f>
        <v>0.003164262</v>
      </c>
      <c r="E75" s="166">
        <f>E20</f>
        <v>-7.002259E-05</v>
      </c>
      <c r="F75" s="166">
        <f>F20</f>
        <v>-0.0007248034</v>
      </c>
    </row>
    <row r="78" ht="12.75">
      <c r="A78" s="165" t="s">
        <v>151</v>
      </c>
    </row>
    <row r="80" spans="2:6" ht="12.75">
      <c r="B80" s="165" t="s">
        <v>83</v>
      </c>
      <c r="C80" s="165" t="s">
        <v>84</v>
      </c>
      <c r="D80" s="165" t="s">
        <v>85</v>
      </c>
      <c r="E80" s="165" t="s">
        <v>86</v>
      </c>
      <c r="F80" s="165" t="s">
        <v>87</v>
      </c>
    </row>
    <row r="81" spans="1:6" ht="12.75">
      <c r="A81" s="165" t="s">
        <v>170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171</v>
      </c>
      <c r="B82" s="165">
        <f>B22+(2/0.017)*(B8*B51+B23*B50)</f>
        <v>143.48999958495855</v>
      </c>
      <c r="C82" s="165">
        <f>C22+(2/0.017)*(C8*C51+C23*C50)</f>
        <v>62.79238908525779</v>
      </c>
      <c r="D82" s="165">
        <f>D22+(2/0.017)*(D8*D51+D23*D50)</f>
        <v>-14.125802042379009</v>
      </c>
      <c r="E82" s="165">
        <f>E22+(2/0.017)*(E8*E51+E23*E50)</f>
        <v>-66.82129640248029</v>
      </c>
      <c r="F82" s="165">
        <f>F22+(2/0.017)*(F8*F51+F23*F50)</f>
        <v>-119.83728233353197</v>
      </c>
    </row>
    <row r="83" spans="1:6" ht="12.75">
      <c r="A83" s="165" t="s">
        <v>172</v>
      </c>
      <c r="B83" s="165">
        <f>B23+(3/0.017)*(B9*B51+B24*B50)</f>
        <v>-1.039153448534474</v>
      </c>
      <c r="C83" s="165">
        <f>C23+(3/0.017)*(C9*C51+C24*C50)</f>
        <v>-1.7383826386241636</v>
      </c>
      <c r="D83" s="165">
        <f>D23+(3/0.017)*(D9*D51+D24*D50)</f>
        <v>-1.625281377164606</v>
      </c>
      <c r="E83" s="165">
        <f>E23+(3/0.017)*(E9*E51+E24*E50)</f>
        <v>0.45658578099077884</v>
      </c>
      <c r="F83" s="165">
        <f>F23+(3/0.017)*(F9*F51+F24*F50)</f>
        <v>8.22056501631057</v>
      </c>
    </row>
    <row r="84" spans="1:6" ht="12.75">
      <c r="A84" s="165" t="s">
        <v>173</v>
      </c>
      <c r="B84" s="165">
        <f>B24+(4/0.017)*(B10*B51+B25*B50)</f>
        <v>1.231941821279286</v>
      </c>
      <c r="C84" s="165">
        <f>C24+(4/0.017)*(C10*C51+C25*C50)</f>
        <v>0.3066441469809216</v>
      </c>
      <c r="D84" s="165">
        <f>D24+(4/0.017)*(D10*D51+D25*D50)</f>
        <v>0.5688274506997458</v>
      </c>
      <c r="E84" s="165">
        <f>E24+(4/0.017)*(E10*E51+E25*E50)</f>
        <v>1.5707185026797936</v>
      </c>
      <c r="F84" s="165">
        <f>F24+(4/0.017)*(F10*F51+F25*F50)</f>
        <v>-0.6867961012654671</v>
      </c>
    </row>
    <row r="85" spans="1:6" ht="12.75">
      <c r="A85" s="165" t="s">
        <v>174</v>
      </c>
      <c r="B85" s="165">
        <f>B25+(5/0.017)*(B11*B51+B26*B50)</f>
        <v>-0.7648891775140915</v>
      </c>
      <c r="C85" s="165">
        <f>C25+(5/0.017)*(C11*C51+C26*C50)</f>
        <v>-0.4231086021636952</v>
      </c>
      <c r="D85" s="165">
        <f>D25+(5/0.017)*(D11*D51+D26*D50)</f>
        <v>-0.6524132083698695</v>
      </c>
      <c r="E85" s="165">
        <f>E25+(5/0.017)*(E11*E51+E26*E50)</f>
        <v>0.1371828426398628</v>
      </c>
      <c r="F85" s="165">
        <f>F25+(5/0.017)*(F11*F51+F26*F50)</f>
        <v>-0.26654580337672423</v>
      </c>
    </row>
    <row r="86" spans="1:6" ht="12.75">
      <c r="A86" s="165" t="s">
        <v>175</v>
      </c>
      <c r="B86" s="165">
        <f>B26+(6/0.017)*(B12*B51+B27*B50)</f>
        <v>1.0113941337215184</v>
      </c>
      <c r="C86" s="165">
        <f>C26+(6/0.017)*(C12*C51+C27*C50)</f>
        <v>0.49818365913118373</v>
      </c>
      <c r="D86" s="165">
        <f>D26+(6/0.017)*(D12*D51+D27*D50)</f>
        <v>0.1912453477840725</v>
      </c>
      <c r="E86" s="165">
        <f>E26+(6/0.017)*(E12*E51+E27*E50)</f>
        <v>0.5121860868029248</v>
      </c>
      <c r="F86" s="165">
        <f>F26+(6/0.017)*(F12*F51+F27*F50)</f>
        <v>1.29131191150507</v>
      </c>
    </row>
    <row r="87" spans="1:6" ht="12.75">
      <c r="A87" s="165" t="s">
        <v>176</v>
      </c>
      <c r="B87" s="165">
        <f>B27+(7/0.017)*(B13*B51+B28*B50)</f>
        <v>0.04343026624725214</v>
      </c>
      <c r="C87" s="165">
        <f>C27+(7/0.017)*(C13*C51+C28*C50)</f>
        <v>-0.1044254487479202</v>
      </c>
      <c r="D87" s="165">
        <f>D27+(7/0.017)*(D13*D51+D28*D50)</f>
        <v>-0.11008747133516804</v>
      </c>
      <c r="E87" s="165">
        <f>E27+(7/0.017)*(E13*E51+E28*E50)</f>
        <v>-0.03725051775222499</v>
      </c>
      <c r="F87" s="165">
        <f>F27+(7/0.017)*(F13*F51+F28*F50)</f>
        <v>0.5937805938632326</v>
      </c>
    </row>
    <row r="88" spans="1:6" ht="12.75">
      <c r="A88" s="165" t="s">
        <v>177</v>
      </c>
      <c r="B88" s="165">
        <f>B28+(8/0.017)*(B14*B51+B29*B50)</f>
        <v>0.005142250725291727</v>
      </c>
      <c r="C88" s="165">
        <f>C28+(8/0.017)*(C14*C51+C29*C50)</f>
        <v>-0.09306800808771158</v>
      </c>
      <c r="D88" s="165">
        <f>D28+(8/0.017)*(D14*D51+D29*D50)</f>
        <v>0.019521539280299777</v>
      </c>
      <c r="E88" s="165">
        <f>E28+(8/0.017)*(E14*E51+E29*E50)</f>
        <v>0.05113686619815508</v>
      </c>
      <c r="F88" s="165">
        <f>F28+(8/0.017)*(F14*F51+F29*F50)</f>
        <v>-0.27045045989559896</v>
      </c>
    </row>
    <row r="89" spans="1:6" ht="12.75">
      <c r="A89" s="165" t="s">
        <v>178</v>
      </c>
      <c r="B89" s="165">
        <f>B29+(9/0.017)*(B15*B51+B30*B50)</f>
        <v>0.003023170496685247</v>
      </c>
      <c r="C89" s="165">
        <f>C29+(9/0.017)*(C15*C51+C30*C50)</f>
        <v>0.041571559336811524</v>
      </c>
      <c r="D89" s="165">
        <f>D29+(9/0.017)*(D15*D51+D30*D50)</f>
        <v>0.05352692038972848</v>
      </c>
      <c r="E89" s="165">
        <f>E29+(9/0.017)*(E15*E51+E30*E50)</f>
        <v>0.09360012680894617</v>
      </c>
      <c r="F89" s="165">
        <f>F29+(9/0.017)*(F15*F51+F30*F50)</f>
        <v>0.0721674393298909</v>
      </c>
    </row>
    <row r="90" spans="1:6" ht="12.75">
      <c r="A90" s="165" t="s">
        <v>179</v>
      </c>
      <c r="B90" s="165">
        <f>B30+(10/0.017)*(B16*B51+B31*B50)</f>
        <v>0.11841531563806312</v>
      </c>
      <c r="C90" s="165">
        <f>C30+(10/0.017)*(C16*C51+C31*C50)</f>
        <v>0.10450491326139424</v>
      </c>
      <c r="D90" s="165">
        <f>D30+(10/0.017)*(D16*D51+D31*D50)</f>
        <v>0.0641199638270044</v>
      </c>
      <c r="E90" s="165">
        <f>E30+(10/0.017)*(E16*E51+E31*E50)</f>
        <v>0.04394387487109372</v>
      </c>
      <c r="F90" s="165">
        <f>F30+(10/0.017)*(F16*F51+F31*F50)</f>
        <v>0.2914470631089765</v>
      </c>
    </row>
    <row r="91" spans="1:6" ht="12.75">
      <c r="A91" s="165" t="s">
        <v>180</v>
      </c>
      <c r="B91" s="165">
        <f>B31+(11/0.017)*(B17*B51+B32*B50)</f>
        <v>0.013768576739956203</v>
      </c>
      <c r="C91" s="165">
        <f>C31+(11/0.017)*(C17*C51+C32*C50)</f>
        <v>0.017080120662210388</v>
      </c>
      <c r="D91" s="165">
        <f>D31+(11/0.017)*(D17*D51+D32*D50)</f>
        <v>0.012366689028957305</v>
      </c>
      <c r="E91" s="165">
        <f>E31+(11/0.017)*(E17*E51+E32*E50)</f>
        <v>-0.005878427573863718</v>
      </c>
      <c r="F91" s="165">
        <f>F31+(11/0.017)*(F17*F51+F32*F50)</f>
        <v>0.08093772285596049</v>
      </c>
    </row>
    <row r="92" spans="1:6" ht="12.75">
      <c r="A92" s="165" t="s">
        <v>181</v>
      </c>
      <c r="B92" s="165">
        <f>B32+(12/0.017)*(B18*B51+B33*B50)</f>
        <v>0.0007757631492246709</v>
      </c>
      <c r="C92" s="165">
        <f>C32+(12/0.017)*(C18*C51+C33*C50)</f>
        <v>-0.02419299682293306</v>
      </c>
      <c r="D92" s="165">
        <f>D32+(12/0.017)*(D18*D51+D33*D50)</f>
        <v>0.0007273833671686092</v>
      </c>
      <c r="E92" s="165">
        <f>E32+(12/0.017)*(E18*E51+E33*E50)</f>
        <v>-0.009885370956058686</v>
      </c>
      <c r="F92" s="165">
        <f>F32+(12/0.017)*(F18*F51+F33*F50)</f>
        <v>-0.03804175150472109</v>
      </c>
    </row>
    <row r="93" spans="1:6" ht="12.75">
      <c r="A93" s="165" t="s">
        <v>182</v>
      </c>
      <c r="B93" s="165">
        <f>B33+(13/0.017)*(B19*B51+B34*B50)</f>
        <v>0.05188544939858568</v>
      </c>
      <c r="C93" s="165">
        <f>C33+(13/0.017)*(C19*C51+C34*C50)</f>
        <v>0.03950137604248653</v>
      </c>
      <c r="D93" s="165">
        <f>D33+(13/0.017)*(D19*D51+D34*D50)</f>
        <v>0.04396769540226822</v>
      </c>
      <c r="E93" s="165">
        <f>E33+(13/0.017)*(E19*E51+E34*E50)</f>
        <v>0.040466529183475576</v>
      </c>
      <c r="F93" s="165">
        <f>F33+(13/0.017)*(F19*F51+F34*F50)</f>
        <v>0.028271964966989988</v>
      </c>
    </row>
    <row r="94" spans="1:6" ht="12.75">
      <c r="A94" s="165" t="s">
        <v>183</v>
      </c>
      <c r="B94" s="165">
        <f>B34+(14/0.017)*(B20*B51+B35*B50)</f>
        <v>0.001086372996156553</v>
      </c>
      <c r="C94" s="165">
        <f>C34+(14/0.017)*(C20*C51+C35*C50)</f>
        <v>0.016072453795925295</v>
      </c>
      <c r="D94" s="165">
        <f>D34+(14/0.017)*(D20*D51+D35*D50)</f>
        <v>0.018563921113132698</v>
      </c>
      <c r="E94" s="165">
        <f>E34+(14/0.017)*(E20*E51+E35*E50)</f>
        <v>0.025212946548478436</v>
      </c>
      <c r="F94" s="165">
        <f>F34+(14/0.017)*(F20*F51+F35*F50)</f>
        <v>-0.0006779286787988988</v>
      </c>
    </row>
    <row r="95" spans="1:6" ht="12.75">
      <c r="A95" s="165" t="s">
        <v>184</v>
      </c>
      <c r="B95" s="166">
        <f>B35</f>
        <v>-0.004845723</v>
      </c>
      <c r="C95" s="166">
        <f>C35</f>
        <v>0.00062826</v>
      </c>
      <c r="D95" s="166">
        <f>D35</f>
        <v>-5.299512E-05</v>
      </c>
      <c r="E95" s="166">
        <f>E35</f>
        <v>0.002237251</v>
      </c>
      <c r="F95" s="166">
        <f>F35</f>
        <v>0.0096767</v>
      </c>
    </row>
    <row r="98" ht="12.75">
      <c r="A98" s="165" t="s">
        <v>152</v>
      </c>
    </row>
    <row r="100" spans="2:11" ht="12.75">
      <c r="B100" s="165" t="s">
        <v>83</v>
      </c>
      <c r="C100" s="165" t="s">
        <v>84</v>
      </c>
      <c r="D100" s="165" t="s">
        <v>85</v>
      </c>
      <c r="E100" s="165" t="s">
        <v>86</v>
      </c>
      <c r="F100" s="165" t="s">
        <v>87</v>
      </c>
      <c r="G100" s="165" t="s">
        <v>154</v>
      </c>
      <c r="H100" s="165" t="s">
        <v>155</v>
      </c>
      <c r="I100" s="165" t="s">
        <v>150</v>
      </c>
      <c r="K100" s="165" t="s">
        <v>185</v>
      </c>
    </row>
    <row r="101" spans="1:9" ht="12.75">
      <c r="A101" s="165" t="s">
        <v>153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156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</v>
      </c>
    </row>
    <row r="103" spans="1:11" ht="12.75">
      <c r="A103" s="165" t="s">
        <v>157</v>
      </c>
      <c r="B103" s="165">
        <f>B63*10000/B62</f>
        <v>4.304292301127856</v>
      </c>
      <c r="C103" s="165">
        <f>C63*10000/C62</f>
        <v>4.112978518723078</v>
      </c>
      <c r="D103" s="165">
        <f>D63*10000/D62</f>
        <v>2.7759608012785075</v>
      </c>
      <c r="E103" s="165">
        <f>E63*10000/E62</f>
        <v>3.000749569137138</v>
      </c>
      <c r="F103" s="165">
        <f>F63*10000/F62</f>
        <v>2.3854192678078827</v>
      </c>
      <c r="G103" s="165">
        <f>AVERAGE(C103:E103)</f>
        <v>3.296562963046241</v>
      </c>
      <c r="H103" s="165">
        <f>STDEV(C103:E103)</f>
        <v>0.7159142876086403</v>
      </c>
      <c r="I103" s="165">
        <f>(B103*B4+C103*C4+D103*D4+E103*E4+F103*F4)/SUM(B4:F4)</f>
        <v>3.319543445470468</v>
      </c>
      <c r="K103" s="165">
        <f>(LN(H103)+LN(H123))/2-LN(K114*K115^3)</f>
        <v>-3.939743487183186</v>
      </c>
    </row>
    <row r="104" spans="1:11" ht="12.75">
      <c r="A104" s="165" t="s">
        <v>158</v>
      </c>
      <c r="B104" s="165">
        <f>B64*10000/B62</f>
        <v>0.39868780094799383</v>
      </c>
      <c r="C104" s="165">
        <f>C64*10000/C62</f>
        <v>0.3549870199891081</v>
      </c>
      <c r="D104" s="165">
        <f>D64*10000/D62</f>
        <v>0.8447387578536395</v>
      </c>
      <c r="E104" s="165">
        <f>E64*10000/E62</f>
        <v>0.28803027335866205</v>
      </c>
      <c r="F104" s="165">
        <f>F64*10000/F62</f>
        <v>-1.5800980017230928</v>
      </c>
      <c r="G104" s="165">
        <f>AVERAGE(C104:E104)</f>
        <v>0.49591868373380316</v>
      </c>
      <c r="H104" s="165">
        <f>STDEV(C104:E104)</f>
        <v>0.3039364811297907</v>
      </c>
      <c r="I104" s="165">
        <f>(B104*B4+C104*C4+D104*D4+E104*E4+F104*F4)/SUM(B4:F4)</f>
        <v>0.20352289336564666</v>
      </c>
      <c r="K104" s="165">
        <f>(LN(H104)+LN(H124))/2-LN(K114*K115^4)</f>
        <v>-4.0850881403221875</v>
      </c>
    </row>
    <row r="105" spans="1:11" ht="12.75">
      <c r="A105" s="165" t="s">
        <v>159</v>
      </c>
      <c r="B105" s="165">
        <f>B65*10000/B62</f>
        <v>-0.4951230054456585</v>
      </c>
      <c r="C105" s="165">
        <f>C65*10000/C62</f>
        <v>-0.6027182974679833</v>
      </c>
      <c r="D105" s="165">
        <f>D65*10000/D62</f>
        <v>-0.5291352426384367</v>
      </c>
      <c r="E105" s="165">
        <f>E65*10000/E62</f>
        <v>-0.33504846658106907</v>
      </c>
      <c r="F105" s="165">
        <f>F65*10000/F62</f>
        <v>-0.7685420971618705</v>
      </c>
      <c r="G105" s="165">
        <f>AVERAGE(C105:E105)</f>
        <v>-0.4889673355624964</v>
      </c>
      <c r="H105" s="165">
        <f>STDEV(C105:E105)</f>
        <v>0.13828188659728116</v>
      </c>
      <c r="I105" s="165">
        <f>(B105*B4+C105*C4+D105*D4+E105*E4+F105*F4)/SUM(B4:F4)</f>
        <v>-0.5273509434434737</v>
      </c>
      <c r="K105" s="165">
        <f>(LN(H105)+LN(H125))/2-LN(K114*K115^5)</f>
        <v>-4.135614331637713</v>
      </c>
    </row>
    <row r="106" spans="1:11" ht="12.75">
      <c r="A106" s="165" t="s">
        <v>160</v>
      </c>
      <c r="B106" s="165">
        <f>B66*10000/B62</f>
        <v>4.260313777874786</v>
      </c>
      <c r="C106" s="165">
        <f>C66*10000/C62</f>
        <v>3.714529841381221</v>
      </c>
      <c r="D106" s="165">
        <f>D66*10000/D62</f>
        <v>3.432471575756088</v>
      </c>
      <c r="E106" s="165">
        <f>E66*10000/E62</f>
        <v>3.3758933370030926</v>
      </c>
      <c r="F106" s="165">
        <f>F66*10000/F62</f>
        <v>14.38121219878021</v>
      </c>
      <c r="G106" s="165">
        <f>AVERAGE(C106:E106)</f>
        <v>3.5076315847134674</v>
      </c>
      <c r="H106" s="165">
        <f>STDEV(C106:E106)</f>
        <v>0.18139856872150703</v>
      </c>
      <c r="I106" s="165">
        <f>(B106*B4+C106*C4+D106*D4+E106*E4+F106*F4)/SUM(B4:F4)</f>
        <v>5.074133524278989</v>
      </c>
      <c r="K106" s="165">
        <f>(LN(H106)+LN(H126))/2-LN(K114*K115^6)</f>
        <v>-3.811700596259163</v>
      </c>
    </row>
    <row r="107" spans="1:11" ht="12.75">
      <c r="A107" s="165" t="s">
        <v>161</v>
      </c>
      <c r="B107" s="165">
        <f>B67*10000/B62</f>
        <v>-0.016292825964160387</v>
      </c>
      <c r="C107" s="165">
        <f>C67*10000/C62</f>
        <v>0.15075862160403944</v>
      </c>
      <c r="D107" s="165">
        <f>D67*10000/D62</f>
        <v>0.00017891251927465592</v>
      </c>
      <c r="E107" s="165">
        <f>E67*10000/E62</f>
        <v>-0.0891934579544513</v>
      </c>
      <c r="F107" s="165">
        <f>F67*10000/F62</f>
        <v>-0.3869835258378281</v>
      </c>
      <c r="G107" s="165">
        <f>AVERAGE(C107:E107)</f>
        <v>0.020581358722954263</v>
      </c>
      <c r="H107" s="165">
        <f>STDEV(C107:E107)</f>
        <v>0.12127013226442691</v>
      </c>
      <c r="I107" s="165">
        <f>(B107*B4+C107*C4+D107*D4+E107*E4+F107*F4)/SUM(B4:F4)</f>
        <v>-0.039372893374631734</v>
      </c>
      <c r="K107" s="165">
        <f>(LN(H107)+LN(H127))/2-LN(K114*K115^7)</f>
        <v>-4.171182061246907</v>
      </c>
    </row>
    <row r="108" spans="1:9" ht="12.75">
      <c r="A108" s="165" t="s">
        <v>162</v>
      </c>
      <c r="B108" s="165">
        <f>B68*10000/B62</f>
        <v>0.06206427426118142</v>
      </c>
      <c r="C108" s="165">
        <f>C68*10000/C62</f>
        <v>0.09121081600221825</v>
      </c>
      <c r="D108" s="165">
        <f>D68*10000/D62</f>
        <v>0.22478565455166608</v>
      </c>
      <c r="E108" s="165">
        <f>E68*10000/E62</f>
        <v>0.07926634785268284</v>
      </c>
      <c r="F108" s="165">
        <f>F68*10000/F62</f>
        <v>-0.16095452862629192</v>
      </c>
      <c r="G108" s="165">
        <f>AVERAGE(C108:E108)</f>
        <v>0.13175427280218907</v>
      </c>
      <c r="H108" s="165">
        <f>STDEV(C108:E108)</f>
        <v>0.08078858875179407</v>
      </c>
      <c r="I108" s="165">
        <f>(B108*B4+C108*C4+D108*D4+E108*E4+F108*F4)/SUM(B4:F4)</f>
        <v>0.08246546462730679</v>
      </c>
    </row>
    <row r="109" spans="1:9" ht="12.75">
      <c r="A109" s="165" t="s">
        <v>163</v>
      </c>
      <c r="B109" s="165">
        <f>B69*10000/B62</f>
        <v>-0.021331917055520275</v>
      </c>
      <c r="C109" s="165">
        <f>C69*10000/C62</f>
        <v>-0.05215653065367939</v>
      </c>
      <c r="D109" s="165">
        <f>D69*10000/D62</f>
        <v>-0.14083435031886948</v>
      </c>
      <c r="E109" s="165">
        <f>E69*10000/E62</f>
        <v>-0.0683489742266514</v>
      </c>
      <c r="F109" s="165">
        <f>F69*10000/F62</f>
        <v>0.0534552473734355</v>
      </c>
      <c r="G109" s="165">
        <f>AVERAGE(C109:E109)</f>
        <v>-0.08711328506640009</v>
      </c>
      <c r="H109" s="165">
        <f>STDEV(C109:E109)</f>
        <v>0.04722301818087262</v>
      </c>
      <c r="I109" s="165">
        <f>(B109*B4+C109*C4+D109*D4+E109*E4+F109*F4)/SUM(B4:F4)</f>
        <v>-0.0587890899154435</v>
      </c>
    </row>
    <row r="110" spans="1:11" ht="12.75">
      <c r="A110" s="165" t="s">
        <v>164</v>
      </c>
      <c r="B110" s="165">
        <f>B70*10000/B62</f>
        <v>-0.2927742361819891</v>
      </c>
      <c r="C110" s="165">
        <f>C70*10000/C62</f>
        <v>-0.08876474818632765</v>
      </c>
      <c r="D110" s="165">
        <f>D70*10000/D62</f>
        <v>-0.08582747901180511</v>
      </c>
      <c r="E110" s="165">
        <f>E70*10000/E62</f>
        <v>-0.11087535627654382</v>
      </c>
      <c r="F110" s="165">
        <f>F70*10000/F62</f>
        <v>-0.33998894035335636</v>
      </c>
      <c r="G110" s="165">
        <f>AVERAGE(C110:E110)</f>
        <v>-0.09515586115822554</v>
      </c>
      <c r="H110" s="165">
        <f>STDEV(C110:E110)</f>
        <v>0.013692471750272989</v>
      </c>
      <c r="I110" s="165">
        <f>(B110*B4+C110*C4+D110*D4+E110*E4+F110*F4)/SUM(B4:F4)</f>
        <v>-0.15644286116730893</v>
      </c>
      <c r="K110" s="165">
        <f>EXP(AVERAGE(K103:K107))</f>
        <v>0.01779806165625226</v>
      </c>
    </row>
    <row r="111" spans="1:9" ht="12.75">
      <c r="A111" s="165" t="s">
        <v>165</v>
      </c>
      <c r="B111" s="165">
        <f>B71*10000/B62</f>
        <v>-0.028557696030625117</v>
      </c>
      <c r="C111" s="165">
        <f>C71*10000/C62</f>
        <v>-0.006552955060853205</v>
      </c>
      <c r="D111" s="165">
        <f>D71*10000/D62</f>
        <v>0.011145338223849555</v>
      </c>
      <c r="E111" s="165">
        <f>E71*10000/E62</f>
        <v>-0.017101831892257842</v>
      </c>
      <c r="F111" s="165">
        <f>F71*10000/F62</f>
        <v>-0.06543116049187404</v>
      </c>
      <c r="G111" s="165">
        <f>AVERAGE(C111:E111)</f>
        <v>-0.004169816243087164</v>
      </c>
      <c r="H111" s="165">
        <f>STDEV(C111:E111)</f>
        <v>0.014273582866983159</v>
      </c>
      <c r="I111" s="165">
        <f>(B111*B4+C111*C4+D111*D4+E111*E4+F111*F4)/SUM(B4:F4)</f>
        <v>-0.015896635346061724</v>
      </c>
    </row>
    <row r="112" spans="1:9" ht="12.75">
      <c r="A112" s="165" t="s">
        <v>166</v>
      </c>
      <c r="B112" s="165">
        <f>B72*10000/B62</f>
        <v>-0.009725146416356766</v>
      </c>
      <c r="C112" s="165">
        <f>C72*10000/C62</f>
        <v>-0.01266334525143392</v>
      </c>
      <c r="D112" s="165">
        <f>D72*10000/D62</f>
        <v>-0.006097682819278482</v>
      </c>
      <c r="E112" s="165">
        <f>E72*10000/E62</f>
        <v>-0.0049846002468858265</v>
      </c>
      <c r="F112" s="165">
        <f>F72*10000/F62</f>
        <v>-0.03095852531620875</v>
      </c>
      <c r="G112" s="165">
        <f>AVERAGE(C112:E112)</f>
        <v>-0.007915209439199409</v>
      </c>
      <c r="H112" s="165">
        <f>STDEV(C112:E112)</f>
        <v>0.004149497978287128</v>
      </c>
      <c r="I112" s="165">
        <f>(B112*B4+C112*C4+D112*D4+E112*E4+F112*F4)/SUM(B4:F4)</f>
        <v>-0.01126615851891696</v>
      </c>
    </row>
    <row r="113" spans="1:9" ht="12.75">
      <c r="A113" s="165" t="s">
        <v>167</v>
      </c>
      <c r="B113" s="165">
        <f>B73*10000/B62</f>
        <v>0.03278308006088502</v>
      </c>
      <c r="C113" s="165">
        <f>C73*10000/C62</f>
        <v>0.02571121326801058</v>
      </c>
      <c r="D113" s="165">
        <f>D73*10000/D62</f>
        <v>0.02613849967448388</v>
      </c>
      <c r="E113" s="165">
        <f>E73*10000/E62</f>
        <v>0.035020273873237674</v>
      </c>
      <c r="F113" s="165">
        <f>F73*10000/F62</f>
        <v>0.014756628440684804</v>
      </c>
      <c r="G113" s="165">
        <f>AVERAGE(C113:E113)</f>
        <v>0.02895666227191071</v>
      </c>
      <c r="H113" s="165">
        <f>STDEV(C113:E113)</f>
        <v>0.0052555858528901935</v>
      </c>
      <c r="I113" s="165">
        <f>(B113*B4+C113*C4+D113*D4+E113*E4+F113*F4)/SUM(B4:F4)</f>
        <v>0.027603271929043733</v>
      </c>
    </row>
    <row r="114" spans="1:11" ht="12.75">
      <c r="A114" s="165" t="s">
        <v>168</v>
      </c>
      <c r="B114" s="165">
        <f>B74*10000/B62</f>
        <v>-0.19217756370573355</v>
      </c>
      <c r="C114" s="165">
        <f>C74*10000/C62</f>
        <v>-0.17051072968438485</v>
      </c>
      <c r="D114" s="165">
        <f>D74*10000/D62</f>
        <v>-0.16642480103843413</v>
      </c>
      <c r="E114" s="165">
        <f>E74*10000/E62</f>
        <v>-0.16663082844684887</v>
      </c>
      <c r="F114" s="165">
        <f>F74*10000/F62</f>
        <v>-0.12959098669001337</v>
      </c>
      <c r="G114" s="165">
        <f>AVERAGE(C114:E114)</f>
        <v>-0.16785545305655594</v>
      </c>
      <c r="H114" s="165">
        <f>STDEV(C114:E114)</f>
        <v>0.0023018432398777284</v>
      </c>
      <c r="I114" s="165">
        <f>(B114*B4+C114*C4+D114*D4+E114*E4+F114*F4)/SUM(B4:F4)</f>
        <v>-0.16622678927988957</v>
      </c>
      <c r="J114" s="165" t="s">
        <v>186</v>
      </c>
      <c r="K114" s="165">
        <v>285</v>
      </c>
    </row>
    <row r="115" spans="1:11" ht="12.75">
      <c r="A115" s="165" t="s">
        <v>169</v>
      </c>
      <c r="B115" s="165">
        <f>B75*10000/B62</f>
        <v>-0.0023315182159205435</v>
      </c>
      <c r="C115" s="165">
        <f>C75*10000/C62</f>
        <v>-0.00033209002223692785</v>
      </c>
      <c r="D115" s="165">
        <f>D75*10000/D62</f>
        <v>0.0031642744953977488</v>
      </c>
      <c r="E115" s="165">
        <f>E75*10000/E62</f>
        <v>-7.002258342340826E-05</v>
      </c>
      <c r="F115" s="165">
        <f>F75*10000/F62</f>
        <v>-0.0007248095576699329</v>
      </c>
      <c r="G115" s="165">
        <f>AVERAGE(C115:E115)</f>
        <v>0.0009207206299124709</v>
      </c>
      <c r="H115" s="165">
        <f>STDEV(C115:E115)</f>
        <v>0.0019473880702422974</v>
      </c>
      <c r="I115" s="165">
        <f>(B115*B4+C115*C4+D115*D4+E115*E4+F115*F4)/SUM(B4:F4)</f>
        <v>0.0002316717872398689</v>
      </c>
      <c r="J115" s="165" t="s">
        <v>187</v>
      </c>
      <c r="K115" s="165">
        <v>0.5536</v>
      </c>
    </row>
    <row r="118" ht="12.75">
      <c r="A118" s="165" t="s">
        <v>152</v>
      </c>
    </row>
    <row r="120" spans="2:9" ht="12.75">
      <c r="B120" s="165" t="s">
        <v>83</v>
      </c>
      <c r="C120" s="165" t="s">
        <v>84</v>
      </c>
      <c r="D120" s="165" t="s">
        <v>85</v>
      </c>
      <c r="E120" s="165" t="s">
        <v>86</v>
      </c>
      <c r="F120" s="165" t="s">
        <v>87</v>
      </c>
      <c r="G120" s="165" t="s">
        <v>154</v>
      </c>
      <c r="H120" s="165" t="s">
        <v>155</v>
      </c>
      <c r="I120" s="165" t="s">
        <v>150</v>
      </c>
    </row>
    <row r="121" spans="1:9" ht="12.75">
      <c r="A121" s="165" t="s">
        <v>170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171</v>
      </c>
      <c r="B122" s="165">
        <f>B82*10000/B62</f>
        <v>143.4897666995045</v>
      </c>
      <c r="C122" s="165">
        <f>C82*10000/C62</f>
        <v>62.792336565184485</v>
      </c>
      <c r="D122" s="165">
        <f>D82*10000/D62</f>
        <v>-14.12585782395305</v>
      </c>
      <c r="E122" s="165">
        <f>E82*10000/E62</f>
        <v>-66.82129012655724</v>
      </c>
      <c r="F122" s="165">
        <f>F82*10000/F62</f>
        <v>-119.83830042813564</v>
      </c>
      <c r="G122" s="165">
        <f>AVERAGE(C122:E122)</f>
        <v>-6.051603795108602</v>
      </c>
      <c r="H122" s="165">
        <f>STDEV(C122:E122)</f>
        <v>65.18295973364725</v>
      </c>
      <c r="I122" s="165">
        <f>(B122*B4+C122*C4+D122*D4+E122*E4+F122*F4)/SUM(B4:F4)</f>
        <v>0.22780380786125928</v>
      </c>
    </row>
    <row r="123" spans="1:9" ht="12.75">
      <c r="A123" s="165" t="s">
        <v>172</v>
      </c>
      <c r="B123" s="165">
        <f>B83*10000/B62</f>
        <v>-1.0391517619798472</v>
      </c>
      <c r="C123" s="165">
        <f>C83*10000/C62</f>
        <v>-1.7383811846265542</v>
      </c>
      <c r="D123" s="165">
        <f>D83*10000/D62</f>
        <v>-1.6252877952605984</v>
      </c>
      <c r="E123" s="165">
        <f>E83*10000/E62</f>
        <v>0.45658573810778524</v>
      </c>
      <c r="F123" s="165">
        <f>F83*10000/F62</f>
        <v>8.220634855284878</v>
      </c>
      <c r="G123" s="165">
        <f>AVERAGE(C123:E123)</f>
        <v>-0.9690277472597891</v>
      </c>
      <c r="H123" s="165">
        <f>STDEV(C123:E123)</f>
        <v>1.235911763001705</v>
      </c>
      <c r="I123" s="165">
        <f>(B123*B4+C123*C4+D123*D4+E123*E4+F123*F4)/SUM(B4:F4)</f>
        <v>0.25312377257165086</v>
      </c>
    </row>
    <row r="124" spans="1:9" ht="12.75">
      <c r="A124" s="165" t="s">
        <v>173</v>
      </c>
      <c r="B124" s="165">
        <f>B84*10000/B62</f>
        <v>1.2319398218275386</v>
      </c>
      <c r="C124" s="165">
        <f>C84*10000/C62</f>
        <v>0.30664389050122215</v>
      </c>
      <c r="D124" s="165">
        <f>D84*10000/D62</f>
        <v>0.5688296969502923</v>
      </c>
      <c r="E124" s="165">
        <f>E84*10000/E62</f>
        <v>1.5707183551563397</v>
      </c>
      <c r="F124" s="165">
        <f>F84*10000/F62</f>
        <v>-0.6868019360390107</v>
      </c>
      <c r="G124" s="165">
        <f>AVERAGE(C124:E124)</f>
        <v>0.8153973142026181</v>
      </c>
      <c r="H124" s="165">
        <f>STDEV(C124:E124)</f>
        <v>0.6671339861350173</v>
      </c>
      <c r="I124" s="165">
        <f>(B124*B4+C124*C4+D124*D4+E124*E4+F124*F4)/SUM(B4:F4)</f>
        <v>0.6739058528791468</v>
      </c>
    </row>
    <row r="125" spans="1:9" ht="12.75">
      <c r="A125" s="165" t="s">
        <v>174</v>
      </c>
      <c r="B125" s="165">
        <f>B85*10000/B62</f>
        <v>-0.7648879360926409</v>
      </c>
      <c r="C125" s="165">
        <f>C85*10000/C62</f>
        <v>-0.4231082482721627</v>
      </c>
      <c r="D125" s="165">
        <f>D85*10000/D62</f>
        <v>-0.6524157846933646</v>
      </c>
      <c r="E125" s="165">
        <f>E85*10000/E62</f>
        <v>0.13718282975551288</v>
      </c>
      <c r="F125" s="165">
        <f>F85*10000/F62</f>
        <v>-0.2665480678543456</v>
      </c>
      <c r="G125" s="165">
        <f>AVERAGE(C125:E125)</f>
        <v>-0.3127804010700048</v>
      </c>
      <c r="H125" s="165">
        <f>STDEV(C125:E125)</f>
        <v>0.40619658834866373</v>
      </c>
      <c r="I125" s="165">
        <f>(B125*B4+C125*C4+D125*D4+E125*E4+F125*F4)/SUM(B4:F4)</f>
        <v>-0.3716895396152633</v>
      </c>
    </row>
    <row r="126" spans="1:9" ht="12.75">
      <c r="A126" s="165" t="s">
        <v>175</v>
      </c>
      <c r="B126" s="165">
        <f>B86*10000/B62</f>
        <v>1.0113924922204889</v>
      </c>
      <c r="C126" s="165">
        <f>C86*10000/C62</f>
        <v>0.49818324244625306</v>
      </c>
      <c r="D126" s="165">
        <f>D86*10000/D62</f>
        <v>0.19124610299545772</v>
      </c>
      <c r="E126" s="165">
        <f>E86*10000/E62</f>
        <v>0.5121860386978948</v>
      </c>
      <c r="F126" s="165">
        <f>F86*10000/F62</f>
        <v>1.2913228820282925</v>
      </c>
      <c r="G126" s="165">
        <f>AVERAGE(C126:E126)</f>
        <v>0.40053846137986854</v>
      </c>
      <c r="H126" s="165">
        <f>STDEV(C126:E126)</f>
        <v>0.18138767332511244</v>
      </c>
      <c r="I126" s="165">
        <f>(B126*B4+C126*C4+D126*D4+E126*E4+F126*F4)/SUM(B4:F4)</f>
        <v>0.6079559835794486</v>
      </c>
    </row>
    <row r="127" spans="1:9" ht="12.75">
      <c r="A127" s="165" t="s">
        <v>176</v>
      </c>
      <c r="B127" s="165">
        <f>B87*10000/B62</f>
        <v>0.04343019575957143</v>
      </c>
      <c r="C127" s="165">
        <f>C87*10000/C62</f>
        <v>-0.10442536140561164</v>
      </c>
      <c r="D127" s="165">
        <f>D87*10000/D62</f>
        <v>-0.11008790606109828</v>
      </c>
      <c r="E127" s="165">
        <f>E87*10000/E62</f>
        <v>-0.037250514253619076</v>
      </c>
      <c r="F127" s="165">
        <f>F87*10000/F62</f>
        <v>0.5937856384103601</v>
      </c>
      <c r="G127" s="165">
        <f>AVERAGE(C127:E127)</f>
        <v>-0.083921260573443</v>
      </c>
      <c r="H127" s="165">
        <f>STDEV(C127:E127)</f>
        <v>0.04051709546019885</v>
      </c>
      <c r="I127" s="165">
        <f>(B127*B4+C127*C4+D127*D4+E127*E4+F127*F4)/SUM(B4:F4)</f>
        <v>0.02529340575243344</v>
      </c>
    </row>
    <row r="128" spans="1:9" ht="12.75">
      <c r="A128" s="165" t="s">
        <v>177</v>
      </c>
      <c r="B128" s="165">
        <f>B88*10000/B62</f>
        <v>0.005142242379376342</v>
      </c>
      <c r="C128" s="165">
        <f>C88*10000/C62</f>
        <v>-0.09306793024486028</v>
      </c>
      <c r="D128" s="165">
        <f>D88*10000/D62</f>
        <v>0.019521616369174835</v>
      </c>
      <c r="E128" s="165">
        <f>E88*10000/E62</f>
        <v>0.05113686139532942</v>
      </c>
      <c r="F128" s="165">
        <f>F88*10000/F62</f>
        <v>-0.27045275754578274</v>
      </c>
      <c r="G128" s="165">
        <f>AVERAGE(C128:E128)</f>
        <v>-0.007469817493452008</v>
      </c>
      <c r="H128" s="165">
        <f>STDEV(C128:E128)</f>
        <v>0.07579682453419834</v>
      </c>
      <c r="I128" s="165">
        <f>(B128*B4+C128*C4+D128*D4+E128*E4+F128*F4)/SUM(B4:F4)</f>
        <v>-0.04092424002795818</v>
      </c>
    </row>
    <row r="129" spans="1:9" ht="12.75">
      <c r="A129" s="165" t="s">
        <v>178</v>
      </c>
      <c r="B129" s="165">
        <f>B89*10000/B62</f>
        <v>0.00302316559005457</v>
      </c>
      <c r="C129" s="165">
        <f>C89*10000/C62</f>
        <v>0.04157152456601564</v>
      </c>
      <c r="D129" s="165">
        <f>D89*10000/D62</f>
        <v>0.05352713176292088</v>
      </c>
      <c r="E129" s="165">
        <f>E89*10000/E62</f>
        <v>0.09360011801792856</v>
      </c>
      <c r="F129" s="165">
        <f>F89*10000/F62</f>
        <v>0.07216805243859223</v>
      </c>
      <c r="G129" s="165">
        <f>AVERAGE(C129:E129)</f>
        <v>0.06289959144895503</v>
      </c>
      <c r="H129" s="165">
        <f>STDEV(C129:E129)</f>
        <v>0.027251162994831254</v>
      </c>
      <c r="I129" s="165">
        <f>(B129*B4+C129*C4+D129*D4+E129*E4+F129*F4)/SUM(B4:F4)</f>
        <v>0.055519126524396216</v>
      </c>
    </row>
    <row r="130" spans="1:9" ht="12.75">
      <c r="A130" s="165" t="s">
        <v>179</v>
      </c>
      <c r="B130" s="165">
        <f>B90*10000/B62</f>
        <v>0.11841512344902815</v>
      </c>
      <c r="C130" s="165">
        <f>C90*10000/C62</f>
        <v>0.1045048258526209</v>
      </c>
      <c r="D130" s="165">
        <f>D90*10000/D62</f>
        <v>0.06412021703121178</v>
      </c>
      <c r="E130" s="165">
        <f>E90*10000/E62</f>
        <v>0.043943870743841006</v>
      </c>
      <c r="F130" s="165">
        <f>F90*10000/F62</f>
        <v>0.29144953913877647</v>
      </c>
      <c r="G130" s="165">
        <f>AVERAGE(C130:E130)</f>
        <v>0.0708563045425579</v>
      </c>
      <c r="H130" s="165">
        <f>STDEV(C130:E130)</f>
        <v>0.030837290366410242</v>
      </c>
      <c r="I130" s="165">
        <f>(B130*B4+C130*C4+D130*D4+E130*E4+F130*F4)/SUM(B4:F4)</f>
        <v>0.10728744945381498</v>
      </c>
    </row>
    <row r="131" spans="1:9" ht="12.75">
      <c r="A131" s="165" t="s">
        <v>180</v>
      </c>
      <c r="B131" s="165">
        <f>B91*10000/B62</f>
        <v>0.013768554393442472</v>
      </c>
      <c r="C131" s="165">
        <f>C91*10000/C62</f>
        <v>0.017080106376256274</v>
      </c>
      <c r="D131" s="165">
        <f>D91*10000/D62</f>
        <v>0.012366737863945765</v>
      </c>
      <c r="E131" s="165">
        <f>E91*10000/E62</f>
        <v>-0.005878427021755916</v>
      </c>
      <c r="F131" s="165">
        <f>F91*10000/F62</f>
        <v>0.08093841047384757</v>
      </c>
      <c r="G131" s="165">
        <f>AVERAGE(C131:E131)</f>
        <v>0.007856139072815375</v>
      </c>
      <c r="H131" s="165">
        <f>STDEV(C131:E131)</f>
        <v>0.012125703692479893</v>
      </c>
      <c r="I131" s="165">
        <f>(B131*B4+C131*C4+D131*D4+E131*E4+F131*F4)/SUM(B4:F4)</f>
        <v>0.018508148100075682</v>
      </c>
    </row>
    <row r="132" spans="1:9" ht="12.75">
      <c r="A132" s="165" t="s">
        <v>181</v>
      </c>
      <c r="B132" s="165">
        <f>B92*10000/B62</f>
        <v>0.0007757618901546745</v>
      </c>
      <c r="C132" s="165">
        <f>C92*10000/C62</f>
        <v>-0.024192976587710524</v>
      </c>
      <c r="D132" s="165">
        <f>D92*10000/D62</f>
        <v>0.0007273862395427958</v>
      </c>
      <c r="E132" s="165">
        <f>E92*10000/E62</f>
        <v>-0.009885370027614752</v>
      </c>
      <c r="F132" s="165">
        <f>F92*10000/F62</f>
        <v>-0.03804207469380855</v>
      </c>
      <c r="G132" s="165">
        <f>AVERAGE(C132:E132)</f>
        <v>-0.011116986791927493</v>
      </c>
      <c r="H132" s="165">
        <f>STDEV(C132:E132)</f>
        <v>0.012505749907586086</v>
      </c>
      <c r="I132" s="165">
        <f>(B132*B4+C132*C4+D132*D4+E132*E4+F132*F4)/SUM(B4:F4)</f>
        <v>-0.013015871614841844</v>
      </c>
    </row>
    <row r="133" spans="1:9" ht="12.75">
      <c r="A133" s="165" t="s">
        <v>182</v>
      </c>
      <c r="B133" s="165">
        <f>B93*10000/B62</f>
        <v>0.051885365188072914</v>
      </c>
      <c r="C133" s="165">
        <f>C93*10000/C62</f>
        <v>0.03950134300320907</v>
      </c>
      <c r="D133" s="165">
        <f>D93*10000/D62</f>
        <v>0.04396786902690554</v>
      </c>
      <c r="E133" s="165">
        <f>E93*10000/E62</f>
        <v>0.04046652538281865</v>
      </c>
      <c r="F133" s="165">
        <f>F93*10000/F62</f>
        <v>0.028272205155472296</v>
      </c>
      <c r="G133" s="165">
        <f>AVERAGE(C133:E133)</f>
        <v>0.041311912470977756</v>
      </c>
      <c r="H133" s="165">
        <f>STDEV(C133:E133)</f>
        <v>0.002350207049753082</v>
      </c>
      <c r="I133" s="165">
        <f>(B133*B4+C133*C4+D133*D4+E133*E4+F133*F4)/SUM(B4:F4)</f>
        <v>0.04108575497912131</v>
      </c>
    </row>
    <row r="134" spans="1:9" ht="12.75">
      <c r="A134" s="165" t="s">
        <v>183</v>
      </c>
      <c r="B134" s="165">
        <f>B94*10000/B62</f>
        <v>0.0010863712329642105</v>
      </c>
      <c r="C134" s="165">
        <f>C94*10000/C62</f>
        <v>0.016072440352792077</v>
      </c>
      <c r="D134" s="165">
        <f>D94*10000/D62</f>
        <v>0.0185639944204562</v>
      </c>
      <c r="E134" s="165">
        <f>E94*10000/E62</f>
        <v>0.025212944180453258</v>
      </c>
      <c r="F134" s="165">
        <f>F94*10000/F62</f>
        <v>-0.0006779344382379991</v>
      </c>
      <c r="G134" s="165">
        <f>AVERAGE(C134:E134)</f>
        <v>0.01994979298456718</v>
      </c>
      <c r="H134" s="165">
        <f>STDEV(C134:E134)</f>
        <v>0.004725201667769447</v>
      </c>
      <c r="I134" s="165">
        <f>(B134*B4+C134*C4+D134*D4+E134*E4+F134*F4)/SUM(B4:F4)</f>
        <v>0.014467189392371623</v>
      </c>
    </row>
    <row r="135" spans="1:9" ht="12.75">
      <c r="A135" s="165" t="s">
        <v>184</v>
      </c>
      <c r="B135" s="165">
        <f>B95*10000/B62</f>
        <v>-0.004845715135351561</v>
      </c>
      <c r="C135" s="165">
        <f>C95*10000/C62</f>
        <v>0.0006282594745181424</v>
      </c>
      <c r="D135" s="165">
        <f>D95*10000/D62</f>
        <v>-5.299532927315852E-05</v>
      </c>
      <c r="E135" s="165">
        <f>E95*10000/E62</f>
        <v>0.0022372507898751463</v>
      </c>
      <c r="F135" s="165">
        <f>F95*10000/F62</f>
        <v>0.009676782209775282</v>
      </c>
      <c r="G135" s="165">
        <f>AVERAGE(C135:E135)</f>
        <v>0.0009375049783733767</v>
      </c>
      <c r="H135" s="165">
        <f>STDEV(C135:E135)</f>
        <v>0.0011760235575061736</v>
      </c>
      <c r="I135" s="165">
        <f>(B135*B4+C135*C4+D135*D4+E135*E4+F135*F4)/SUM(B4:F4)</f>
        <v>0.0012766287894081327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2003-12-09T09:44:56Z</cp:lastPrinted>
  <dcterms:created xsi:type="dcterms:W3CDTF">1999-06-17T15:15:05Z</dcterms:created>
  <dcterms:modified xsi:type="dcterms:W3CDTF">2005-10-05T15:07:59Z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