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47_pos1ap2" sheetId="2" r:id="rId2"/>
    <sheet name="HCMQAP147_pos2ap2" sheetId="3" r:id="rId3"/>
    <sheet name="HCMQAP147_pos3ap2" sheetId="4" r:id="rId4"/>
    <sheet name="HCMQAP147_pos4ap2" sheetId="5" r:id="rId5"/>
    <sheet name="HCMQAP147_pos5ap2" sheetId="6" r:id="rId6"/>
    <sheet name="Lmag_hcmqap" sheetId="7" r:id="rId7"/>
    <sheet name="Result_HCMQAP" sheetId="8" r:id="rId8"/>
  </sheets>
  <definedNames>
    <definedName name="_xlnm.Print_Area" localSheetId="1">'HCMQAP147_pos1ap2'!$A$1:$N$28</definedName>
    <definedName name="_xlnm.Print_Area" localSheetId="2">'HCMQAP147_pos2ap2'!$A$1:$N$28</definedName>
    <definedName name="_xlnm.Print_Area" localSheetId="3">'HCMQAP147_pos3ap2'!$A$1:$N$28</definedName>
    <definedName name="_xlnm.Print_Area" localSheetId="4">'HCMQAP147_pos4ap2'!$A$1:$N$28</definedName>
    <definedName name="_xlnm.Print_Area" localSheetId="5">'HCMQAP147_pos5ap2'!$A$1:$N$28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<sst xmlns="http://schemas.openxmlformats.org/spreadsheetml/2006/main" count="507" uniqueCount="190">
  <si>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</si>
  <si>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</si>
  <si>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</si>
  <si>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</si>
  <si>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</si>
  <si>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</si>
  <si>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</si>
  <si>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</si>
  <si>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</si>
  <si>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</si>
  <si>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</si>
  <si>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</si>
  <si>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</si>
  <si>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</si>
  <si>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</si>
  <si>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hcmqap147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</si>
  <si>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</si>
  <si>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</si>
  <si>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</si>
  <si>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</si>
  <si>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</si>
  <si>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</si>
  <si>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</si>
  <si>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</si>
  <si>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</si>
  <si>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</si>
  <si>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</si>
  <si>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</si>
  <si>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</si>
  <si>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</si>
  <si>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</si>
  <si>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</si>
  <si>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</si>
  <si>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</si>
  <si>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</si>
  <si>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</si>
  <si>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</si>
  <si>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</si>
  <si>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</si>
  <si>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</si>
  <si>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</si>
  <si>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</si>
  <si>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</si>
  <si>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</si>
  <si>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</si>
  <si>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</si>
  <si>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</si>
  <si>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</si>
  <si>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</si>
  <si>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</si>
  <si>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</si>
  <si>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</si>
  <si>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</si>
  <si>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</si>
  <si>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</si>
  <si>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</si>
  <si>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</si>
  <si>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</si>
  <si>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</si>
  <si>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</si>
  <si>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</si>
  <si>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</si>
  <si>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</si>
  <si>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</si>
  <si>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</si>
  <si>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</si>
  <si>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</si>
  <si>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</si>
  <si>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HCMQAP147_pos1ap2</t>
  </si>
  <si>
    <t>±12.5</t>
  </si>
  <si>
    <t>THCMQAP147_pos1ap2.xls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</si>
  <si>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</si>
  <si>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HCMQAP147_pos2ap2</t>
  </si>
  <si>
    <t>THCMQAP147_pos2ap2.xls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</si>
  <si>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-3.749 mT)</t>
    </r>
  </si>
  <si>
    <t>HCMQAP147_pos3ap2</t>
  </si>
  <si>
    <t>THCMQAP147_pos3ap2.xls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</si>
  <si>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 mT)</t>
    </r>
  </si>
  <si>
    <t>HCMQAP147_pos4ap2</t>
  </si>
  <si>
    <t>THCMQAP147_pos4ap2.xls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</si>
  <si>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-2.082 mT)</t>
    </r>
  </si>
  <si>
    <t>HCMQAP147_pos5ap2</t>
  </si>
  <si>
    <t>THCMQAP147_pos5ap2.xls</t>
  </si>
  <si>
    <t>Sommaire : Valeurs intégrales calculées avec les fichiers: HCMQAP147_pos1ap2+HCMQAP147_pos2ap2+HCMQAP147_pos3ap2+HCMQAP147_pos4ap2+HCMQAP147_pos5ap2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</si>
  <si>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</si>
  <si>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</si>
  <si>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</si>
  <si>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</si>
  <si>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</si>
  <si>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</si>
  <si>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</si>
  <si>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</si>
  <si>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</si>
  <si>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</si>
  <si>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</si>
  <si>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</si>
  <si>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</si>
  <si>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</si>
  <si>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</si>
  <si>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</si>
  <si>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</si>
  <si>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</si>
  <si>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</si>
  <si>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</si>
  <si>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</si>
  <si>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</si>
  <si>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</si>
  <si>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</si>
  <si>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</si>
  <si>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</si>
  <si>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</si>
  <si>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</si>
  <si>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</si>
  <si>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</si>
  <si>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</si>
  <si>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</si>
  <si>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</si>
  <si>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</si>
  <si>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</si>
  <si>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</si>
  <si>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</si>
  <si>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</si>
  <si>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</si>
  <si>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</si>
  <si>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</si>
  <si>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</si>
  <si>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</si>
  <si>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</t>
    </r>
  </si>
  <si>
    <t>Gradient (T/m)</t>
  </si>
  <si>
    <t xml:space="preserve"> Thu 11/12/2003       08:34:37</t>
  </si>
  <si>
    <t>SIEGMUND</t>
  </si>
  <si>
    <t>HCMQAP147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</si>
  <si>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</si>
  <si>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</si>
  <si>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</si>
  <si>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</si>
  <si>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</si>
  <si>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</si>
  <si>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</si>
  <si>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</si>
  <si>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</si>
  <si>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</si>
  <si>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</si>
  <si>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</si>
  <si>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</si>
  <si>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</si>
  <si>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</si>
  <si>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ACCEPTED           Duration : 31mn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</si>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</sst>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4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17132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37937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2822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37937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2822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37937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2822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37937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2822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37937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2822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2.2958013300000003E-05</v>
      </c>
      <c r="L2" s="55">
        <v>9.169562002646614E-08</v>
      </c>
      <c r="M2" s="55">
        <v>9.6292038E-05</v>
      </c>
      <c r="N2" s="56">
        <v>1.831912810857655E-07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-3.2084384700000005E-05</v>
      </c>
      <c r="L3" s="55">
        <v>1.272542560957778E-07</v>
      </c>
      <c r="M3" s="55">
        <v>1.3055522E-05</v>
      </c>
      <c r="N3" s="56">
        <v>8.80668770083819E-08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-0.002252074917984586</v>
      </c>
      <c r="L4" s="55">
        <v>7.40741325505487E-06</v>
      </c>
      <c r="M4" s="55">
        <v>8.482947977188502E-08</v>
      </c>
      <c r="N4" s="56">
        <v>-1.6445693</v>
      </c>
    </row>
    <row r="5" spans="1:14" ht="15" customHeight="1" thickBot="1">
      <c r="A5" t="s">
        <v>18</v>
      </c>
      <c r="B5" s="59">
        <v>37966.33583333333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-3.1480616</v>
      </c>
      <c r="E8" s="78">
        <v>0.018356395417919388</v>
      </c>
      <c r="F8" s="78">
        <v>-0.05380488</v>
      </c>
      <c r="G8" s="78">
        <v>0.024502567843240432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-0.27211199199999997</v>
      </c>
      <c r="E9" s="80">
        <v>0.013310797089823962</v>
      </c>
      <c r="F9" s="80">
        <v>-1.2876751</v>
      </c>
      <c r="G9" s="80">
        <v>0.00907440501302288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0.08765381</v>
      </c>
      <c r="E10" s="80">
        <v>0.006366205241617706</v>
      </c>
      <c r="F10" s="80">
        <v>0.6340247400000001</v>
      </c>
      <c r="G10" s="80">
        <v>0.016918283016968867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3.8359271</v>
      </c>
      <c r="E11" s="78">
        <v>0.005784169511569079</v>
      </c>
      <c r="F11" s="78">
        <v>0.57417803</v>
      </c>
      <c r="G11" s="78">
        <v>0.01011209548617317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-0.10556201800000001</v>
      </c>
      <c r="E12" s="80">
        <v>0.00494153974196783</v>
      </c>
      <c r="F12" s="80">
        <v>0.34395619</v>
      </c>
      <c r="G12" s="80">
        <v>0.008551683843745116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16.485596</v>
      </c>
      <c r="D13" s="83">
        <v>0.050397517</v>
      </c>
      <c r="E13" s="80">
        <v>0.005107711509027884</v>
      </c>
      <c r="F13" s="80">
        <v>-0.0037285899999999995</v>
      </c>
      <c r="G13" s="80">
        <v>0.0047106315448568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-0.062562149</v>
      </c>
      <c r="E14" s="80">
        <v>0.004016070016789257</v>
      </c>
      <c r="F14" s="80">
        <v>0.029246811</v>
      </c>
      <c r="G14" s="80">
        <v>0.005837764019664037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-0.27189591</v>
      </c>
      <c r="E15" s="78">
        <v>0.002456471561689893</v>
      </c>
      <c r="F15" s="78">
        <v>0.046836381999999996</v>
      </c>
      <c r="G15" s="78">
        <v>0.003359426092579857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12.5132</v>
      </c>
      <c r="D16" s="83">
        <v>0.0050961341</v>
      </c>
      <c r="E16" s="80">
        <v>0.0027544134492436373</v>
      </c>
      <c r="F16" s="80">
        <v>0.0016890148</v>
      </c>
      <c r="G16" s="80">
        <v>0.004258121860230442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0.328000009059906</v>
      </c>
      <c r="D17" s="83">
        <v>-0.011899830000000002</v>
      </c>
      <c r="E17" s="80">
        <v>0.002089007500240246</v>
      </c>
      <c r="F17" s="80">
        <v>0.01928770567</v>
      </c>
      <c r="G17" s="80">
        <v>0.0037998028774909737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1.5260000228881836</v>
      </c>
      <c r="D18" s="83">
        <v>0.023600959999999997</v>
      </c>
      <c r="E18" s="80">
        <v>0.0013914652958410374</v>
      </c>
      <c r="F18" s="80">
        <v>0.073380544</v>
      </c>
      <c r="G18" s="80">
        <v>0.0028441746320371983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0.26100000739097595</v>
      </c>
      <c r="D19" s="86">
        <v>-0.19719034</v>
      </c>
      <c r="E19" s="80">
        <v>0.0013692673067750732</v>
      </c>
      <c r="F19" s="80">
        <v>0.018558080999999997</v>
      </c>
      <c r="G19" s="80">
        <v>0.001508060810685063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0.1757123</v>
      </c>
      <c r="D20" s="88">
        <v>-0.00271007839</v>
      </c>
      <c r="E20" s="89">
        <v>0.0013522028149453172</v>
      </c>
      <c r="F20" s="89">
        <v>-0.0037279393700000002</v>
      </c>
      <c r="G20" s="89">
        <v>0.0009667677506453367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0.7262896000000001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-0.09422695959689201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-2.2520871000000002</v>
      </c>
      <c r="I25" s="101" t="s">
        <v>49</v>
      </c>
      <c r="J25" s="102"/>
      <c r="K25" s="101"/>
      <c r="L25" s="104">
        <v>3.8786617700760004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3.14852136764329</v>
      </c>
      <c r="I26" s="106" t="s">
        <v>53</v>
      </c>
      <c r="J26" s="107"/>
      <c r="K26" s="106"/>
      <c r="L26" s="109">
        <v>0.2759004033226085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HCMQAP147_pos1ap2res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6.577713800000001E-05</v>
      </c>
      <c r="L2" s="55">
        <v>1.217350640811065E-07</v>
      </c>
      <c r="M2" s="55">
        <v>8.4527875E-05</v>
      </c>
      <c r="N2" s="56">
        <v>1.6006114837454894E-07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-2.9762848E-05</v>
      </c>
      <c r="L3" s="55">
        <v>4.9298604907815836E-08</v>
      </c>
      <c r="M3" s="55">
        <v>1.2518685E-05</v>
      </c>
      <c r="N3" s="56">
        <v>1.50461239526913E-07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-0.003750755287315453</v>
      </c>
      <c r="L4" s="55">
        <v>-2.4035752504592123E-05</v>
      </c>
      <c r="M4" s="55">
        <v>3.535620528885972E-08</v>
      </c>
      <c r="N4" s="56">
        <v>3.2040778000000003</v>
      </c>
    </row>
    <row r="5" spans="1:14" ht="15" customHeight="1" thickBot="1">
      <c r="A5" t="s">
        <v>18</v>
      </c>
      <c r="B5" s="59">
        <v>37966.34028935185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-0.0085215423</v>
      </c>
      <c r="E8" s="78">
        <v>0.015023575474139324</v>
      </c>
      <c r="F8" s="78">
        <v>-0.41159183</v>
      </c>
      <c r="G8" s="78">
        <v>0.006859304422213924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0.70720078</v>
      </c>
      <c r="E9" s="80">
        <v>0.006226498515349753</v>
      </c>
      <c r="F9" s="80">
        <v>-1.36240609</v>
      </c>
      <c r="G9" s="80">
        <v>0.004788170288506083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-0.26112319500000003</v>
      </c>
      <c r="E10" s="80">
        <v>0.007681798563235332</v>
      </c>
      <c r="F10" s="80">
        <v>0.22990719000000004</v>
      </c>
      <c r="G10" s="80">
        <v>0.008404288695325406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3.621925</v>
      </c>
      <c r="E11" s="78">
        <v>0.007900745490181353</v>
      </c>
      <c r="F11" s="78">
        <v>-0.5307510499999999</v>
      </c>
      <c r="G11" s="78">
        <v>0.002155534234725189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0.17016866</v>
      </c>
      <c r="E12" s="80">
        <v>0.0013629569286676294</v>
      </c>
      <c r="F12" s="80">
        <v>0.06357115970999999</v>
      </c>
      <c r="G12" s="80">
        <v>0.0037398825510305887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16.558838</v>
      </c>
      <c r="D13" s="83">
        <v>0.03420516</v>
      </c>
      <c r="E13" s="80">
        <v>0.0019656542321578488</v>
      </c>
      <c r="F13" s="80">
        <v>-0.010624499999999995</v>
      </c>
      <c r="G13" s="80">
        <v>0.0032031712484661213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-0.09879815</v>
      </c>
      <c r="E14" s="80">
        <v>0.003043644995714479</v>
      </c>
      <c r="F14" s="80">
        <v>0.03074731303</v>
      </c>
      <c r="G14" s="80">
        <v>0.0021712513568434484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-0.006794067999999999</v>
      </c>
      <c r="E15" s="78">
        <v>0.00227717894327082</v>
      </c>
      <c r="F15" s="78">
        <v>-0.08398891</v>
      </c>
      <c r="G15" s="78">
        <v>0.002110101240239929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12.513900000000001</v>
      </c>
      <c r="D16" s="83">
        <v>0.016842041</v>
      </c>
      <c r="E16" s="80">
        <v>0.0019168400698346107</v>
      </c>
      <c r="F16" s="80">
        <v>0.0059606609</v>
      </c>
      <c r="G16" s="80">
        <v>0.002234403735690698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-0.3070000112056732</v>
      </c>
      <c r="D17" s="83">
        <v>-0.0012090120000000002</v>
      </c>
      <c r="E17" s="80">
        <v>0.001821149686101062</v>
      </c>
      <c r="F17" s="80">
        <v>-0.013168632</v>
      </c>
      <c r="G17" s="80">
        <v>0.0011367891704735843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29.5</v>
      </c>
      <c r="D18" s="83">
        <v>0.017151179</v>
      </c>
      <c r="E18" s="80">
        <v>0.0017650817123589398</v>
      </c>
      <c r="F18" s="80">
        <v>0.039180334</v>
      </c>
      <c r="G18" s="80">
        <v>0.001227371655935739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-0.3700000047683716</v>
      </c>
      <c r="D19" s="86">
        <v>-0.17868831</v>
      </c>
      <c r="E19" s="80">
        <v>0.0010255629456064688</v>
      </c>
      <c r="F19" s="80">
        <v>0.010184402</v>
      </c>
      <c r="G19" s="80">
        <v>0.001196365929641092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0.2956624</v>
      </c>
      <c r="D20" s="88">
        <v>-0.0029833014</v>
      </c>
      <c r="E20" s="89">
        <v>0.0010125944548387761</v>
      </c>
      <c r="F20" s="89">
        <v>4.078560000000007E-05</v>
      </c>
      <c r="G20" s="89">
        <v>0.0013979808384983106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0.3850078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0.1835802902351994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-3.7508322999999995</v>
      </c>
      <c r="I25" s="101" t="s">
        <v>49</v>
      </c>
      <c r="J25" s="102"/>
      <c r="K25" s="101"/>
      <c r="L25" s="104">
        <v>3.660606149628925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0.41168003498581224</v>
      </c>
      <c r="I26" s="106" t="s">
        <v>53</v>
      </c>
      <c r="J26" s="107"/>
      <c r="K26" s="106"/>
      <c r="L26" s="109">
        <v>0.08426325630413724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HCMQAP147_pos2ap2res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7.2688973E-05</v>
      </c>
      <c r="L2" s="55">
        <v>1.7889702333609838E-07</v>
      </c>
      <c r="M2" s="55">
        <v>6.465205099999999E-05</v>
      </c>
      <c r="N2" s="56">
        <v>2.2420858552893634E-07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-2.8775746999999998E-05</v>
      </c>
      <c r="L3" s="55">
        <v>9.392591482645186E-08</v>
      </c>
      <c r="M3" s="55">
        <v>1.1365108999999999E-05</v>
      </c>
      <c r="N3" s="56">
        <v>1.5777154098249148E-07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-0.0037488569561469477</v>
      </c>
      <c r="L4" s="55">
        <v>-3.548553463946186E-05</v>
      </c>
      <c r="M4" s="55">
        <v>7.102210936650091E-08</v>
      </c>
      <c r="N4" s="56">
        <v>4.732705900000001</v>
      </c>
    </row>
    <row r="5" spans="1:14" ht="15" customHeight="1" thickBot="1">
      <c r="A5" t="s">
        <v>18</v>
      </c>
      <c r="B5" s="59">
        <v>37966.34479166667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0.95583361</v>
      </c>
      <c r="E8" s="78">
        <v>0.00834460626179297</v>
      </c>
      <c r="F8" s="78">
        <v>1.6270028999999997</v>
      </c>
      <c r="G8" s="78">
        <v>0.007352766067332219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0.42243179</v>
      </c>
      <c r="E9" s="80">
        <v>0.013990717077241314</v>
      </c>
      <c r="F9" s="80">
        <v>-1.0959050600000002</v>
      </c>
      <c r="G9" s="80">
        <v>0.005313364945998836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-0.38942572</v>
      </c>
      <c r="E10" s="80">
        <v>0.0038606050935817604</v>
      </c>
      <c r="F10" s="80">
        <v>0.9281454200000001</v>
      </c>
      <c r="G10" s="80">
        <v>0.009647201543267802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3.8978312</v>
      </c>
      <c r="E11" s="78">
        <v>0.003900261165080355</v>
      </c>
      <c r="F11" s="78">
        <v>-0.33760391</v>
      </c>
      <c r="G11" s="78">
        <v>0.010204139641803138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0.096316315</v>
      </c>
      <c r="E12" s="80">
        <v>0.00185054573203955</v>
      </c>
      <c r="F12" s="80">
        <v>0.32410714</v>
      </c>
      <c r="G12" s="80">
        <v>0.0034956979631223257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16.616822</v>
      </c>
      <c r="D13" s="83">
        <v>-0.15752124630000003</v>
      </c>
      <c r="E13" s="80">
        <v>0.002768328509377711</v>
      </c>
      <c r="F13" s="80">
        <v>0.12158620099999999</v>
      </c>
      <c r="G13" s="80">
        <v>0.0027294832370916545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-0.14041131</v>
      </c>
      <c r="E14" s="80">
        <v>0.0019110873264708093</v>
      </c>
      <c r="F14" s="80">
        <v>0.005630067999999999</v>
      </c>
      <c r="G14" s="80">
        <v>0.0022000719372911415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0.049683176399999994</v>
      </c>
      <c r="E15" s="78">
        <v>0.0010213017822182336</v>
      </c>
      <c r="F15" s="78">
        <v>-0.0173587314</v>
      </c>
      <c r="G15" s="78">
        <v>0.0018075239456625243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0.0224395777</v>
      </c>
      <c r="E16" s="80">
        <v>0.0012790792191941145</v>
      </c>
      <c r="F16" s="80">
        <v>-0.021959521</v>
      </c>
      <c r="G16" s="80">
        <v>0.0020859511982891975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0.32499998807907104</v>
      </c>
      <c r="D17" s="83">
        <v>0.0072880689999999995</v>
      </c>
      <c r="E17" s="80">
        <v>0.0010498586294373237</v>
      </c>
      <c r="F17" s="80">
        <v>0.022800964</v>
      </c>
      <c r="G17" s="80">
        <v>0.001517110318185168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-1.0169999599456787</v>
      </c>
      <c r="D18" s="83">
        <v>0.031782252999999996</v>
      </c>
      <c r="E18" s="80">
        <v>0.0010353199324973337</v>
      </c>
      <c r="F18" s="80">
        <v>0.027640194</v>
      </c>
      <c r="G18" s="80">
        <v>0.0007299733446735647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0.23000000417232513</v>
      </c>
      <c r="D19" s="86">
        <v>-0.18369995999999997</v>
      </c>
      <c r="E19" s="80">
        <v>0.0009381517512655372</v>
      </c>
      <c r="F19" s="80">
        <v>0.014640684799999998</v>
      </c>
      <c r="G19" s="80">
        <v>0.0005737955263682747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0.3268135</v>
      </c>
      <c r="D20" s="88">
        <v>0.0004755558210000001</v>
      </c>
      <c r="E20" s="89">
        <v>0.0006874606127869429</v>
      </c>
      <c r="F20" s="89">
        <v>-0.0024414986280000004</v>
      </c>
      <c r="G20" s="89">
        <v>0.0016175771692728495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0.296272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0.27116430278935194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-3.7490248999999993</v>
      </c>
      <c r="I25" s="101" t="s">
        <v>49</v>
      </c>
      <c r="J25" s="102"/>
      <c r="K25" s="101"/>
      <c r="L25" s="104">
        <v>3.912424371632087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1.8869966419191215</v>
      </c>
      <c r="I26" s="106" t="s">
        <v>53</v>
      </c>
      <c r="J26" s="107"/>
      <c r="K26" s="106"/>
      <c r="L26" s="109">
        <v>0.05262835331844293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HCMQAP147_pos3ap2res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6.7078812E-05</v>
      </c>
      <c r="L2" s="55">
        <v>1.2057329362804323E-07</v>
      </c>
      <c r="M2" s="55">
        <v>0.00011986434999999999</v>
      </c>
      <c r="N2" s="56">
        <v>1.8283939948294788E-07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-2.9817305999999996E-05</v>
      </c>
      <c r="L3" s="55">
        <v>1.1072058319998515E-07</v>
      </c>
      <c r="M3" s="55">
        <v>1.1443629999999999E-05</v>
      </c>
      <c r="N3" s="56">
        <v>2.3041039820291026E-07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-0.0037499953320131005</v>
      </c>
      <c r="L4" s="55">
        <v>-2.9364469108917983E-05</v>
      </c>
      <c r="M4" s="55">
        <v>4.8405171638380165E-08</v>
      </c>
      <c r="N4" s="56">
        <v>3.9151873999999998</v>
      </c>
    </row>
    <row r="5" spans="1:14" ht="15" customHeight="1" thickBot="1">
      <c r="A5" t="s">
        <v>18</v>
      </c>
      <c r="B5" s="59">
        <v>37966.349282407406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-0.46936733999999997</v>
      </c>
      <c r="E8" s="78">
        <v>0.010376912418605116</v>
      </c>
      <c r="F8" s="78">
        <v>0.96179486</v>
      </c>
      <c r="G8" s="78">
        <v>0.011754467481190954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0.3792191</v>
      </c>
      <c r="E9" s="80">
        <v>0.0070335689113703035</v>
      </c>
      <c r="F9" s="80">
        <v>1.9629611</v>
      </c>
      <c r="G9" s="80">
        <v>0.013274960291454413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0.089527942</v>
      </c>
      <c r="E10" s="80">
        <v>0.006549757106426674</v>
      </c>
      <c r="F10" s="80">
        <v>0.52097759</v>
      </c>
      <c r="G10" s="80">
        <v>0.013055569136404582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3.3175823</v>
      </c>
      <c r="E11" s="78">
        <v>0.002876902720025137</v>
      </c>
      <c r="F11" s="78">
        <v>0.06936327099999999</v>
      </c>
      <c r="G11" s="78">
        <v>0.007494102081632903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-0.058950459999999996</v>
      </c>
      <c r="E12" s="80">
        <v>0.005190469688970423</v>
      </c>
      <c r="F12" s="80">
        <v>0.039299042500000006</v>
      </c>
      <c r="G12" s="80">
        <v>0.003378266880444743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16.653443</v>
      </c>
      <c r="D13" s="83">
        <v>-0.02409875</v>
      </c>
      <c r="E13" s="80">
        <v>0.001058763196848079</v>
      </c>
      <c r="F13" s="80">
        <v>0.289807114</v>
      </c>
      <c r="G13" s="80">
        <v>0.003551445977900878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-0.08990278199999999</v>
      </c>
      <c r="E14" s="80">
        <v>0.0011817972406833882</v>
      </c>
      <c r="F14" s="80">
        <v>0.007462122</v>
      </c>
      <c r="G14" s="80">
        <v>0.001912545846048139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-0.025139320800000003</v>
      </c>
      <c r="E15" s="78">
        <v>0.0031749601750819595</v>
      </c>
      <c r="F15" s="78">
        <v>-0.058543864999999994</v>
      </c>
      <c r="G15" s="78">
        <v>0.0022785481170231213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0.0087620287</v>
      </c>
      <c r="E16" s="80">
        <v>0.000545247410269087</v>
      </c>
      <c r="F16" s="80">
        <v>-0.031166853</v>
      </c>
      <c r="G16" s="80">
        <v>0.0018522191015822311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-0.3070000112056732</v>
      </c>
      <c r="D17" s="83">
        <v>-0.0041725980000000005</v>
      </c>
      <c r="E17" s="80">
        <v>0.0006138571729042475</v>
      </c>
      <c r="F17" s="80">
        <v>0.030646266999999998</v>
      </c>
      <c r="G17" s="80">
        <v>0.0014728899334390123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18.31100082397461</v>
      </c>
      <c r="D18" s="83">
        <v>0.030574105</v>
      </c>
      <c r="E18" s="80">
        <v>0.0007261295060660908</v>
      </c>
      <c r="F18" s="80">
        <v>0.046848344</v>
      </c>
      <c r="G18" s="80">
        <v>0.0019838187730016996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-0.35600000619888306</v>
      </c>
      <c r="D19" s="86">
        <v>-0.1750127</v>
      </c>
      <c r="E19" s="80">
        <v>0.0010786875567133842</v>
      </c>
      <c r="F19" s="80">
        <v>0.0130578</v>
      </c>
      <c r="G19" s="80">
        <v>0.0013483723317133148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0.2998154</v>
      </c>
      <c r="D20" s="88">
        <v>0.0010815068699999999</v>
      </c>
      <c r="E20" s="89">
        <v>0.0009899545070664215</v>
      </c>
      <c r="F20" s="89">
        <v>-0.0014559061000000001</v>
      </c>
      <c r="G20" s="89">
        <v>0.001059248832565106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0.5457302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0.22432390350109338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-3.7501103000000002</v>
      </c>
      <c r="I25" s="101" t="s">
        <v>49</v>
      </c>
      <c r="J25" s="102"/>
      <c r="K25" s="101"/>
      <c r="L25" s="104">
        <v>3.318307336675901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1.070212620268092</v>
      </c>
      <c r="I26" s="106" t="s">
        <v>53</v>
      </c>
      <c r="J26" s="107"/>
      <c r="K26" s="106"/>
      <c r="L26" s="109">
        <v>0.0637131821479946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HCMQAP147_pos4ap2res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3.0019334099999997E-05</v>
      </c>
      <c r="L2" s="55">
        <v>1.4019814112233533E-07</v>
      </c>
      <c r="M2" s="55">
        <v>8.9857544E-05</v>
      </c>
      <c r="N2" s="56">
        <v>8.440938748780015E-08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-3.21017599E-05</v>
      </c>
      <c r="L3" s="55">
        <v>9.37070349692889E-08</v>
      </c>
      <c r="M3" s="55">
        <v>1.0986495999999998E-05</v>
      </c>
      <c r="N3" s="56">
        <v>1.7587344772309525E-07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-0.0020816656736348787</v>
      </c>
      <c r="L4" s="55">
        <v>-2.12663901670277E-05</v>
      </c>
      <c r="M4" s="55">
        <v>5.731544243121152E-08</v>
      </c>
      <c r="N4" s="56">
        <v>5.1078448</v>
      </c>
    </row>
    <row r="5" spans="1:14" ht="15" customHeight="1" thickBot="1">
      <c r="A5" t="s">
        <v>18</v>
      </c>
      <c r="B5" s="59">
        <v>37966.35383101852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2822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-4.9088899</v>
      </c>
      <c r="E8" s="78">
        <v>0.010447102379953081</v>
      </c>
      <c r="F8" s="114">
        <v>7.093673900000001</v>
      </c>
      <c r="G8" s="78">
        <v>0.020342826918148246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-0.9937516299999999</v>
      </c>
      <c r="E9" s="80">
        <v>0.022323215175104702</v>
      </c>
      <c r="F9" s="80">
        <v>2.5641604</v>
      </c>
      <c r="G9" s="80">
        <v>0.017416736785088708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-0.03216729999999997</v>
      </c>
      <c r="E10" s="80">
        <v>0.005636958529207054</v>
      </c>
      <c r="F10" s="80">
        <v>-1.4344525000000001</v>
      </c>
      <c r="G10" s="80">
        <v>0.01192273736185469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14.217272</v>
      </c>
      <c r="E11" s="78">
        <v>0.008202012925465504</v>
      </c>
      <c r="F11" s="114">
        <v>2.0272131</v>
      </c>
      <c r="G11" s="78">
        <v>0.00982135442495161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-0.49428248999999996</v>
      </c>
      <c r="E12" s="80">
        <v>0.0037641761436495013</v>
      </c>
      <c r="F12" s="80">
        <v>0.26966348</v>
      </c>
      <c r="G12" s="80">
        <v>0.005320345654052455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16.723633</v>
      </c>
      <c r="D13" s="83">
        <v>-0.0875122</v>
      </c>
      <c r="E13" s="80">
        <v>0.0009476345313472165</v>
      </c>
      <c r="F13" s="80">
        <v>0.22651632900000002</v>
      </c>
      <c r="G13" s="80">
        <v>0.00633946141767971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0.087534937</v>
      </c>
      <c r="E14" s="80">
        <v>0.0060540730389982665</v>
      </c>
      <c r="F14" s="80">
        <v>-0.045938788</v>
      </c>
      <c r="G14" s="80">
        <v>0.0037455808174067843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-0.3141002</v>
      </c>
      <c r="E15" s="78">
        <v>0.0030966179922631834</v>
      </c>
      <c r="F15" s="78">
        <v>0.31225229</v>
      </c>
      <c r="G15" s="78">
        <v>0.002913984797728463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-0.02322966147</v>
      </c>
      <c r="E16" s="80">
        <v>0.004215837197942731</v>
      </c>
      <c r="F16" s="80">
        <v>-0.005081894000000001</v>
      </c>
      <c r="G16" s="80">
        <v>0.002520190852900212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0.45899999141693115</v>
      </c>
      <c r="D17" s="83">
        <v>-0.017151380000000004</v>
      </c>
      <c r="E17" s="80">
        <v>0.0018836785063327149</v>
      </c>
      <c r="F17" s="80">
        <v>0.01162094</v>
      </c>
      <c r="G17" s="80">
        <v>0.0016606828986052665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1.5260000228881836</v>
      </c>
      <c r="D18" s="83">
        <v>0.011097733299999999</v>
      </c>
      <c r="E18" s="80">
        <v>0.0011325906513231405</v>
      </c>
      <c r="F18" s="80">
        <v>0.036428621</v>
      </c>
      <c r="G18" s="80">
        <v>0.002250938321845758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0.36899998784065247</v>
      </c>
      <c r="D19" s="83">
        <v>-0.1395002</v>
      </c>
      <c r="E19" s="80">
        <v>0.0014676139216436685</v>
      </c>
      <c r="F19" s="80">
        <v>-0.010031678799999999</v>
      </c>
      <c r="G19" s="80">
        <v>0.001250574248700763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0.23763170000000003</v>
      </c>
      <c r="D20" s="88">
        <v>-0.00276526499</v>
      </c>
      <c r="E20" s="89">
        <v>0.0011013563412507513</v>
      </c>
      <c r="F20" s="89">
        <v>0.00496641068</v>
      </c>
      <c r="G20" s="89">
        <v>0.001011998852615302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0.7362316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0.2926581966456476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-2.0817742999999997</v>
      </c>
      <c r="I25" s="101" t="s">
        <v>49</v>
      </c>
      <c r="J25" s="102"/>
      <c r="K25" s="101"/>
      <c r="L25" s="104">
        <v>14.361072943021895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8.626552581991442</v>
      </c>
      <c r="I26" s="106" t="s">
        <v>53</v>
      </c>
      <c r="J26" s="107"/>
      <c r="K26" s="106"/>
      <c r="L26" s="109">
        <v>0.4429000206031651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HCMQAP147_pos5ap2res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68</v>
      </c>
      <c r="C1" s="120" t="s">
        <v>72</v>
      </c>
      <c r="D1" s="120" t="s">
        <v>75</v>
      </c>
      <c r="E1" s="120" t="s">
        <v>78</v>
      </c>
      <c r="F1" s="127" t="s">
        <v>81</v>
      </c>
      <c r="G1" s="160" t="s">
        <v>121</v>
      </c>
    </row>
    <row r="2" spans="1:7" ht="13.5" thickBot="1">
      <c r="A2" s="139" t="s">
        <v>90</v>
      </c>
      <c r="B2" s="131">
        <v>-2.2520871000000002</v>
      </c>
      <c r="C2" s="122">
        <v>-3.7508322999999995</v>
      </c>
      <c r="D2" s="122">
        <v>-3.7490248999999993</v>
      </c>
      <c r="E2" s="122">
        <v>-3.7501103000000002</v>
      </c>
      <c r="F2" s="128">
        <v>-2.0817742999999997</v>
      </c>
      <c r="G2" s="161">
        <v>3.1163592140448406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6" t="s">
        <v>122</v>
      </c>
    </row>
    <row r="4" spans="1:7" ht="12.75">
      <c r="A4" s="144" t="s">
        <v>91</v>
      </c>
      <c r="B4" s="145">
        <v>-3.1480616</v>
      </c>
      <c r="C4" s="146">
        <v>-0.0085215423</v>
      </c>
      <c r="D4" s="146">
        <v>0.95583361</v>
      </c>
      <c r="E4" s="146">
        <v>-0.46936733999999997</v>
      </c>
      <c r="F4" s="151">
        <v>-4.9088899</v>
      </c>
      <c r="G4" s="157">
        <v>-0.9957506606666031</v>
      </c>
    </row>
    <row r="5" spans="1:7" ht="12.75">
      <c r="A5" s="139" t="s">
        <v>93</v>
      </c>
      <c r="B5" s="133">
        <v>-0.27211199199999997</v>
      </c>
      <c r="C5" s="117">
        <v>0.70720078</v>
      </c>
      <c r="D5" s="117">
        <v>0.42243179</v>
      </c>
      <c r="E5" s="117">
        <v>0.3792191</v>
      </c>
      <c r="F5" s="152">
        <v>-0.9937516299999999</v>
      </c>
      <c r="G5" s="158">
        <v>0.1910201779411145</v>
      </c>
    </row>
    <row r="6" spans="1:7" ht="12.75">
      <c r="A6" s="139" t="s">
        <v>95</v>
      </c>
      <c r="B6" s="133">
        <v>0.08765381</v>
      </c>
      <c r="C6" s="117">
        <v>-0.26112319500000003</v>
      </c>
      <c r="D6" s="117">
        <v>-0.38942572</v>
      </c>
      <c r="E6" s="117">
        <v>0.089527942</v>
      </c>
      <c r="F6" s="152">
        <v>-0.03216729999999997</v>
      </c>
      <c r="G6" s="158">
        <v>-0.12661955120074264</v>
      </c>
    </row>
    <row r="7" spans="1:7" ht="12.75">
      <c r="A7" s="139" t="s">
        <v>97</v>
      </c>
      <c r="B7" s="132">
        <v>3.8359271</v>
      </c>
      <c r="C7" s="116">
        <v>3.621925</v>
      </c>
      <c r="D7" s="116">
        <v>3.8978312</v>
      </c>
      <c r="E7" s="116">
        <v>3.3175823</v>
      </c>
      <c r="F7" s="153">
        <v>14.217272</v>
      </c>
      <c r="G7" s="158">
        <v>5.061374388001789</v>
      </c>
    </row>
    <row r="8" spans="1:7" ht="12.75">
      <c r="A8" s="139" t="s">
        <v>99</v>
      </c>
      <c r="B8" s="133">
        <v>-0.10556201800000001</v>
      </c>
      <c r="C8" s="117">
        <v>0.17016866</v>
      </c>
      <c r="D8" s="117">
        <v>0.096316315</v>
      </c>
      <c r="E8" s="117">
        <v>-0.058950459999999996</v>
      </c>
      <c r="F8" s="152">
        <v>-0.49428248999999996</v>
      </c>
      <c r="G8" s="158">
        <v>-0.031341707124271055</v>
      </c>
    </row>
    <row r="9" spans="1:7" ht="12.75">
      <c r="A9" s="139" t="s">
        <v>101</v>
      </c>
      <c r="B9" s="133">
        <v>0.050397517</v>
      </c>
      <c r="C9" s="117">
        <v>0.03420516</v>
      </c>
      <c r="D9" s="117">
        <v>-0.15752124630000003</v>
      </c>
      <c r="E9" s="117">
        <v>-0.02409875</v>
      </c>
      <c r="F9" s="152">
        <v>-0.0875122</v>
      </c>
      <c r="G9" s="158">
        <v>-0.039868717840191324</v>
      </c>
    </row>
    <row r="10" spans="1:7" ht="12.75">
      <c r="A10" s="139" t="s">
        <v>103</v>
      </c>
      <c r="B10" s="133">
        <v>-0.062562149</v>
      </c>
      <c r="C10" s="117">
        <v>-0.09879815</v>
      </c>
      <c r="D10" s="117">
        <v>-0.14041131</v>
      </c>
      <c r="E10" s="117">
        <v>-0.08990278199999999</v>
      </c>
      <c r="F10" s="152">
        <v>0.087534937</v>
      </c>
      <c r="G10" s="158">
        <v>-0.07654046849302724</v>
      </c>
    </row>
    <row r="11" spans="1:7" ht="12.75">
      <c r="A11" s="139" t="s">
        <v>105</v>
      </c>
      <c r="B11" s="132">
        <v>-0.27189591</v>
      </c>
      <c r="C11" s="116">
        <v>-0.006794067999999999</v>
      </c>
      <c r="D11" s="116">
        <v>0.049683176399999994</v>
      </c>
      <c r="E11" s="116">
        <v>-0.025139320800000003</v>
      </c>
      <c r="F11" s="154">
        <v>-0.3141002</v>
      </c>
      <c r="G11" s="158">
        <v>-0.07698455708621195</v>
      </c>
    </row>
    <row r="12" spans="1:7" ht="12.75">
      <c r="A12" s="139" t="s">
        <v>107</v>
      </c>
      <c r="B12" s="133">
        <v>0.0050961341</v>
      </c>
      <c r="C12" s="117">
        <v>0.016842041</v>
      </c>
      <c r="D12" s="117">
        <v>0.0224395777</v>
      </c>
      <c r="E12" s="117">
        <v>0.0087620287</v>
      </c>
      <c r="F12" s="152">
        <v>-0.02322966147</v>
      </c>
      <c r="G12" s="158">
        <v>0.009193812864616893</v>
      </c>
    </row>
    <row r="13" spans="1:7" ht="12.75">
      <c r="A13" s="139" t="s">
        <v>109</v>
      </c>
      <c r="B13" s="133">
        <v>-0.011899830000000002</v>
      </c>
      <c r="C13" s="117">
        <v>-0.0012090120000000002</v>
      </c>
      <c r="D13" s="117">
        <v>0.0072880689999999995</v>
      </c>
      <c r="E13" s="117">
        <v>-0.0041725980000000005</v>
      </c>
      <c r="F13" s="152">
        <v>-0.017151380000000004</v>
      </c>
      <c r="G13" s="158">
        <v>-0.003552663978045596</v>
      </c>
    </row>
    <row r="14" spans="1:7" ht="12.75">
      <c r="A14" s="139" t="s">
        <v>111</v>
      </c>
      <c r="B14" s="133">
        <v>0.023600959999999997</v>
      </c>
      <c r="C14" s="117">
        <v>0.017151179</v>
      </c>
      <c r="D14" s="117">
        <v>0.031782252999999996</v>
      </c>
      <c r="E14" s="117">
        <v>0.030574105</v>
      </c>
      <c r="F14" s="152">
        <v>0.011097733299999999</v>
      </c>
      <c r="G14" s="158">
        <v>0.02402453954438457</v>
      </c>
    </row>
    <row r="15" spans="1:7" ht="12.75">
      <c r="A15" s="139" t="s">
        <v>113</v>
      </c>
      <c r="B15" s="134">
        <v>-0.19719034</v>
      </c>
      <c r="C15" s="119">
        <v>-0.17868831</v>
      </c>
      <c r="D15" s="119">
        <v>-0.18369995999999997</v>
      </c>
      <c r="E15" s="119">
        <v>-0.1750127</v>
      </c>
      <c r="F15" s="152">
        <v>-0.1395002</v>
      </c>
      <c r="G15" s="158">
        <v>-0.17644831110881234</v>
      </c>
    </row>
    <row r="16" spans="1:7" ht="12.75">
      <c r="A16" s="139" t="s">
        <v>115</v>
      </c>
      <c r="B16" s="133">
        <v>-0.00271007839</v>
      </c>
      <c r="C16" s="117">
        <v>-0.0029833014</v>
      </c>
      <c r="D16" s="117">
        <v>0.0004755558210000001</v>
      </c>
      <c r="E16" s="117">
        <v>0.0010815068699999999</v>
      </c>
      <c r="F16" s="152">
        <v>-0.00276526499</v>
      </c>
      <c r="G16" s="158">
        <v>-0.0011044277286539022</v>
      </c>
    </row>
    <row r="17" spans="1:7" ht="12.75">
      <c r="A17" s="139" t="s">
        <v>92</v>
      </c>
      <c r="B17" s="132">
        <v>-0.05380488</v>
      </c>
      <c r="C17" s="116">
        <v>-0.41159183</v>
      </c>
      <c r="D17" s="116">
        <v>1.6270028999999997</v>
      </c>
      <c r="E17" s="116">
        <v>0.96179486</v>
      </c>
      <c r="F17" s="153">
        <v>7.093673900000001</v>
      </c>
      <c r="G17" s="158">
        <v>1.463629647942354</v>
      </c>
    </row>
    <row r="18" spans="1:7" ht="12.75">
      <c r="A18" s="139" t="s">
        <v>94</v>
      </c>
      <c r="B18" s="133">
        <v>-1.2876751</v>
      </c>
      <c r="C18" s="117">
        <v>-1.36240609</v>
      </c>
      <c r="D18" s="117">
        <v>-1.0959050600000002</v>
      </c>
      <c r="E18" s="117">
        <v>1.9629611</v>
      </c>
      <c r="F18" s="152">
        <v>2.5641604</v>
      </c>
      <c r="G18" s="158">
        <v>0.037258831405749135</v>
      </c>
    </row>
    <row r="19" spans="1:7" ht="12.75">
      <c r="A19" s="139" t="s">
        <v>96</v>
      </c>
      <c r="B19" s="133">
        <v>0.6340247400000001</v>
      </c>
      <c r="C19" s="117">
        <v>0.22990719000000004</v>
      </c>
      <c r="D19" s="117">
        <v>0.9281454200000001</v>
      </c>
      <c r="E19" s="117">
        <v>0.52097759</v>
      </c>
      <c r="F19" s="152">
        <v>-1.4344525000000001</v>
      </c>
      <c r="G19" s="158">
        <v>0.30399330295184884</v>
      </c>
    </row>
    <row r="20" spans="1:7" ht="12.75">
      <c r="A20" s="139" t="s">
        <v>98</v>
      </c>
      <c r="B20" s="132">
        <v>0.57417803</v>
      </c>
      <c r="C20" s="116">
        <v>-0.5307510499999999</v>
      </c>
      <c r="D20" s="116">
        <v>-0.33760391</v>
      </c>
      <c r="E20" s="116">
        <v>0.06936327099999999</v>
      </c>
      <c r="F20" s="153">
        <v>2.0272131</v>
      </c>
      <c r="G20" s="158">
        <v>0.1615119976812798</v>
      </c>
    </row>
    <row r="21" spans="1:7" ht="12.75">
      <c r="A21" s="139" t="s">
        <v>100</v>
      </c>
      <c r="B21" s="133">
        <v>0.34395619</v>
      </c>
      <c r="C21" s="117">
        <v>0.06357115970999999</v>
      </c>
      <c r="D21" s="117">
        <v>0.32410714</v>
      </c>
      <c r="E21" s="117">
        <v>0.039299042500000006</v>
      </c>
      <c r="F21" s="152">
        <v>0.26966348</v>
      </c>
      <c r="G21" s="158">
        <v>0.18845843733260018</v>
      </c>
    </row>
    <row r="22" spans="1:7" ht="12.75">
      <c r="A22" s="139" t="s">
        <v>102</v>
      </c>
      <c r="B22" s="133">
        <v>-0.0037285899999999995</v>
      </c>
      <c r="C22" s="117">
        <v>-0.010624499999999995</v>
      </c>
      <c r="D22" s="117">
        <v>0.12158620099999999</v>
      </c>
      <c r="E22" s="117">
        <v>0.289807114</v>
      </c>
      <c r="F22" s="152">
        <v>0.22651632900000002</v>
      </c>
      <c r="G22" s="158">
        <v>0.12615297536416645</v>
      </c>
    </row>
    <row r="23" spans="1:7" ht="12.75">
      <c r="A23" s="139" t="s">
        <v>104</v>
      </c>
      <c r="B23" s="133">
        <v>0.029246811</v>
      </c>
      <c r="C23" s="117">
        <v>0.03074731303</v>
      </c>
      <c r="D23" s="117">
        <v>0.005630067999999999</v>
      </c>
      <c r="E23" s="117">
        <v>0.007462122</v>
      </c>
      <c r="F23" s="152">
        <v>-0.045938788</v>
      </c>
      <c r="G23" s="158">
        <v>0.008640446384878774</v>
      </c>
    </row>
    <row r="24" spans="1:7" ht="12.75">
      <c r="A24" s="139" t="s">
        <v>106</v>
      </c>
      <c r="B24" s="132">
        <v>0.046836381999999996</v>
      </c>
      <c r="C24" s="116">
        <v>-0.08398891</v>
      </c>
      <c r="D24" s="116">
        <v>-0.0173587314</v>
      </c>
      <c r="E24" s="116">
        <v>-0.058543864999999994</v>
      </c>
      <c r="F24" s="154">
        <v>0.31225229</v>
      </c>
      <c r="G24" s="158">
        <v>0.01000176665773742</v>
      </c>
    </row>
    <row r="25" spans="1:7" ht="12.75">
      <c r="A25" s="139" t="s">
        <v>108</v>
      </c>
      <c r="B25" s="133">
        <v>0.0016890148</v>
      </c>
      <c r="C25" s="117">
        <v>0.0059606609</v>
      </c>
      <c r="D25" s="117">
        <v>-0.021959521</v>
      </c>
      <c r="E25" s="117">
        <v>-0.031166853</v>
      </c>
      <c r="F25" s="152">
        <v>-0.005081894000000001</v>
      </c>
      <c r="G25" s="158">
        <v>-0.011782985882476343</v>
      </c>
    </row>
    <row r="26" spans="1:7" ht="12.75">
      <c r="A26" s="139" t="s">
        <v>110</v>
      </c>
      <c r="B26" s="133">
        <v>0.01928770567</v>
      </c>
      <c r="C26" s="117">
        <v>-0.013168632</v>
      </c>
      <c r="D26" s="117">
        <v>0.022800964</v>
      </c>
      <c r="E26" s="117">
        <v>0.030646266999999998</v>
      </c>
      <c r="F26" s="152">
        <v>0.01162094</v>
      </c>
      <c r="G26" s="158">
        <v>0.014030229786640303</v>
      </c>
    </row>
    <row r="27" spans="1:7" ht="12.75">
      <c r="A27" s="139" t="s">
        <v>112</v>
      </c>
      <c r="B27" s="133">
        <v>0.073380544</v>
      </c>
      <c r="C27" s="117">
        <v>0.039180334</v>
      </c>
      <c r="D27" s="117">
        <v>0.027640194</v>
      </c>
      <c r="E27" s="117">
        <v>0.046848344</v>
      </c>
      <c r="F27" s="152">
        <v>0.036428621</v>
      </c>
      <c r="G27" s="158">
        <v>0.0428241764594056</v>
      </c>
    </row>
    <row r="28" spans="1:7" ht="12.75">
      <c r="A28" s="139" t="s">
        <v>114</v>
      </c>
      <c r="B28" s="133">
        <v>0.018558080999999997</v>
      </c>
      <c r="C28" s="117">
        <v>0.010184402</v>
      </c>
      <c r="D28" s="117">
        <v>0.014640684799999998</v>
      </c>
      <c r="E28" s="117">
        <v>0.0130578</v>
      </c>
      <c r="F28" s="152">
        <v>-0.010031678799999999</v>
      </c>
      <c r="G28" s="158">
        <v>0.010457455024453995</v>
      </c>
    </row>
    <row r="29" spans="1:7" ht="13.5" thickBot="1">
      <c r="A29" s="140" t="s">
        <v>116</v>
      </c>
      <c r="B29" s="135">
        <v>-0.0037279393700000002</v>
      </c>
      <c r="C29" s="118">
        <v>4.078560000000007E-05</v>
      </c>
      <c r="D29" s="118">
        <v>-0.0024414986280000004</v>
      </c>
      <c r="E29" s="118">
        <v>-0.0014559061000000001</v>
      </c>
      <c r="F29" s="155">
        <v>0.00496641068</v>
      </c>
      <c r="G29" s="159">
        <v>-0.0008031893697937993</v>
      </c>
    </row>
    <row r="30" spans="1:7" ht="13.5" thickTop="1">
      <c r="A30" s="141" t="s">
        <v>117</v>
      </c>
      <c r="B30" s="136">
        <v>-0.09422695959689201</v>
      </c>
      <c r="C30" s="125">
        <v>0.1835802902351994</v>
      </c>
      <c r="D30" s="125">
        <v>0.27116430278935194</v>
      </c>
      <c r="E30" s="125">
        <v>0.22432390350109338</v>
      </c>
      <c r="F30" s="121">
        <v>0.2926581966456476</v>
      </c>
      <c r="G30" s="160" t="s">
        <v>128</v>
      </c>
    </row>
    <row r="31" spans="1:7" ht="13.5" thickBot="1">
      <c r="A31" s="142" t="s">
        <v>118</v>
      </c>
      <c r="B31" s="131">
        <v>16.485596</v>
      </c>
      <c r="C31" s="122">
        <v>16.558838</v>
      </c>
      <c r="D31" s="122">
        <v>16.616822</v>
      </c>
      <c r="E31" s="122">
        <v>16.653443</v>
      </c>
      <c r="F31" s="123">
        <v>16.723633</v>
      </c>
      <c r="G31" s="162">
        <v>-209.47</v>
      </c>
    </row>
    <row r="32" spans="1:7" ht="15.75" thickBot="1" thickTop="1">
      <c r="A32" s="143" t="s">
        <v>119</v>
      </c>
      <c r="B32" s="137">
        <v>0.294500008225441</v>
      </c>
      <c r="C32" s="126">
        <v>-0.3385000079870224</v>
      </c>
      <c r="D32" s="126">
        <v>0.2774999961256981</v>
      </c>
      <c r="E32" s="126">
        <v>-0.33150000870227814</v>
      </c>
      <c r="F32" s="124">
        <v>0.4139999896287918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0.5" style="163" bestFit="1" customWidth="1"/>
    <col min="2" max="3" width="14.83203125" style="163" bestFit="1" customWidth="1"/>
    <col min="4" max="4" width="16" style="163" bestFit="1" customWidth="1"/>
    <col min="5" max="5" width="22.16015625" style="163" bestFit="1" customWidth="1"/>
    <col min="6" max="6" width="15.33203125" style="163" bestFit="1" customWidth="1"/>
    <col min="7" max="7" width="14.83203125" style="163" bestFit="1" customWidth="1"/>
    <col min="8" max="8" width="14.16015625" style="163" bestFit="1" customWidth="1"/>
    <col min="9" max="9" width="14.83203125" style="163" bestFit="1" customWidth="1"/>
    <col min="10" max="10" width="8.16015625" style="163" bestFit="1" customWidth="1"/>
    <col min="11" max="11" width="15" style="163" bestFit="1" customWidth="1"/>
    <col min="12" max="16384" width="10.66015625" style="163" customWidth="1"/>
  </cols>
  <sheetData>
    <row r="1" spans="1:5" ht="12.75">
      <c r="A1" s="163" t="s">
        <v>129</v>
      </c>
      <c r="B1" s="163" t="s">
        <v>130</v>
      </c>
      <c r="C1" s="163" t="s">
        <v>131</v>
      </c>
      <c r="D1" s="163" t="s">
        <v>132</v>
      </c>
      <c r="E1" s="163" t="s">
        <v>28</v>
      </c>
    </row>
    <row r="3" spans="1:7" ht="12.75">
      <c r="A3" s="163" t="s">
        <v>133</v>
      </c>
      <c r="B3" s="163" t="s">
        <v>84</v>
      </c>
      <c r="C3" s="163" t="s">
        <v>85</v>
      </c>
      <c r="D3" s="163" t="s">
        <v>86</v>
      </c>
      <c r="E3" s="163" t="s">
        <v>87</v>
      </c>
      <c r="F3" s="163" t="s">
        <v>88</v>
      </c>
      <c r="G3" s="163" t="s">
        <v>134</v>
      </c>
    </row>
    <row r="4" spans="1:7" ht="12.75">
      <c r="A4" s="163" t="s">
        <v>135</v>
      </c>
      <c r="B4" s="163">
        <f>0.00225*1.0033</f>
        <v>0.002257425</v>
      </c>
      <c r="C4" s="163">
        <f>0.003747*1.0033</f>
        <v>0.0037593651000000002</v>
      </c>
      <c r="D4" s="163">
        <f>0.003745*1.0033</f>
        <v>0.0037573585000000003</v>
      </c>
      <c r="E4" s="163">
        <f>0.003746*1.0033</f>
        <v>0.0037583618000000007</v>
      </c>
      <c r="F4" s="163">
        <f>0.002079*1.0033</f>
        <v>0.0020858607000000004</v>
      </c>
      <c r="G4" s="163">
        <f>0.011673*1.0033</f>
        <v>0.0117115209</v>
      </c>
    </row>
    <row r="5" spans="1:7" ht="12.75">
      <c r="A5" s="163" t="s">
        <v>136</v>
      </c>
      <c r="B5" s="163">
        <v>4.619631</v>
      </c>
      <c r="C5" s="163">
        <v>-0.127637</v>
      </c>
      <c r="D5" s="163">
        <v>-1.050207</v>
      </c>
      <c r="E5" s="163">
        <v>-0.807465</v>
      </c>
      <c r="F5" s="163">
        <v>-1.420038</v>
      </c>
      <c r="G5" s="163">
        <v>3.360426</v>
      </c>
    </row>
    <row r="6" spans="1:7" ht="12.75">
      <c r="A6" s="163" t="s">
        <v>137</v>
      </c>
      <c r="B6" s="164">
        <v>61.55135</v>
      </c>
      <c r="C6" s="164">
        <v>-9.659521</v>
      </c>
      <c r="D6" s="164">
        <v>-27.69684</v>
      </c>
      <c r="E6" s="164">
        <v>-12.46658</v>
      </c>
      <c r="F6" s="164">
        <v>23.14793</v>
      </c>
      <c r="G6" s="164">
        <v>-0.001245014</v>
      </c>
    </row>
    <row r="7" spans="1:7" ht="12.75">
      <c r="A7" s="163" t="s">
        <v>138</v>
      </c>
      <c r="B7" s="164">
        <v>10000</v>
      </c>
      <c r="C7" s="164">
        <v>10000</v>
      </c>
      <c r="D7" s="164">
        <v>10000</v>
      </c>
      <c r="E7" s="164">
        <v>10000</v>
      </c>
      <c r="F7" s="164">
        <v>10000</v>
      </c>
      <c r="G7" s="164">
        <v>10000</v>
      </c>
    </row>
    <row r="8" spans="1:7" ht="12.75">
      <c r="A8" s="163" t="s">
        <v>91</v>
      </c>
      <c r="B8" s="164">
        <v>-3.214586</v>
      </c>
      <c r="C8" s="164">
        <v>0.01947191</v>
      </c>
      <c r="D8" s="164">
        <v>1.000485</v>
      </c>
      <c r="E8" s="164">
        <v>-0.4499643</v>
      </c>
      <c r="F8" s="164">
        <v>-4.789462</v>
      </c>
      <c r="G8" s="164">
        <v>-0.9672166</v>
      </c>
    </row>
    <row r="9" spans="1:7" ht="12.75">
      <c r="A9" s="163" t="s">
        <v>93</v>
      </c>
      <c r="B9" s="164">
        <v>-0.2270901</v>
      </c>
      <c r="C9" s="164">
        <v>0.6965685</v>
      </c>
      <c r="D9" s="164">
        <v>0.3692635</v>
      </c>
      <c r="E9" s="164">
        <v>0.3882783</v>
      </c>
      <c r="F9" s="164">
        <v>-1.121069</v>
      </c>
      <c r="G9" s="164">
        <v>0.1673624</v>
      </c>
    </row>
    <row r="10" spans="1:7" ht="12.75">
      <c r="A10" s="163" t="s">
        <v>95</v>
      </c>
      <c r="B10" s="164">
        <v>0.2482787</v>
      </c>
      <c r="C10" s="164">
        <v>-0.2561712</v>
      </c>
      <c r="D10" s="164">
        <v>-0.4128362</v>
      </c>
      <c r="E10" s="164">
        <v>0.07716216</v>
      </c>
      <c r="F10" s="164">
        <v>0.2791107</v>
      </c>
      <c r="G10" s="164">
        <v>-0.06924507</v>
      </c>
    </row>
    <row r="11" spans="1:7" ht="12.75">
      <c r="A11" s="163" t="s">
        <v>97</v>
      </c>
      <c r="B11" s="164">
        <v>3.842443</v>
      </c>
      <c r="C11" s="164">
        <v>3.618734</v>
      </c>
      <c r="D11" s="164">
        <v>3.872605</v>
      </c>
      <c r="E11" s="164">
        <v>3.318792</v>
      </c>
      <c r="F11" s="164">
        <v>14.25036</v>
      </c>
      <c r="G11" s="164">
        <v>5.060125</v>
      </c>
    </row>
    <row r="12" spans="1:7" ht="12.75">
      <c r="A12" s="163" t="s">
        <v>99</v>
      </c>
      <c r="B12" s="164">
        <v>-0.136991</v>
      </c>
      <c r="C12" s="164">
        <v>0.1572249</v>
      </c>
      <c r="D12" s="164">
        <v>0.07921972</v>
      </c>
      <c r="E12" s="164">
        <v>-0.06725066</v>
      </c>
      <c r="F12" s="164">
        <v>-0.5047551</v>
      </c>
      <c r="G12" s="164">
        <v>-0.04650356</v>
      </c>
    </row>
    <row r="13" spans="1:7" ht="12.75">
      <c r="A13" s="163" t="s">
        <v>101</v>
      </c>
      <c r="B13" s="164">
        <v>0.05203893</v>
      </c>
      <c r="C13" s="164">
        <v>0.03278246</v>
      </c>
      <c r="D13" s="164">
        <v>-0.1545636</v>
      </c>
      <c r="E13" s="164">
        <v>-0.02179173</v>
      </c>
      <c r="F13" s="164">
        <v>-0.08699772</v>
      </c>
      <c r="G13" s="164">
        <v>-0.03863824</v>
      </c>
    </row>
    <row r="14" spans="1:7" ht="12.75">
      <c r="A14" s="163" t="s">
        <v>103</v>
      </c>
      <c r="B14" s="164">
        <v>-0.06714363</v>
      </c>
      <c r="C14" s="164">
        <v>-0.09082397</v>
      </c>
      <c r="D14" s="164">
        <v>-0.1370698</v>
      </c>
      <c r="E14" s="164">
        <v>-0.08865047</v>
      </c>
      <c r="F14" s="164">
        <v>0.1302097</v>
      </c>
      <c r="G14" s="164">
        <v>-0.06847883</v>
      </c>
    </row>
    <row r="15" spans="1:7" ht="12.75">
      <c r="A15" s="163" t="s">
        <v>105</v>
      </c>
      <c r="B15" s="164">
        <v>-0.2748052</v>
      </c>
      <c r="C15" s="164">
        <v>-0.008453271</v>
      </c>
      <c r="D15" s="164">
        <v>0.04990471</v>
      </c>
      <c r="E15" s="164">
        <v>-0.02766983</v>
      </c>
      <c r="F15" s="164">
        <v>-0.3142024</v>
      </c>
      <c r="G15" s="164">
        <v>-0.07837052</v>
      </c>
    </row>
    <row r="16" spans="1:7" ht="12.75">
      <c r="A16" s="163" t="s">
        <v>107</v>
      </c>
      <c r="B16" s="164">
        <v>0.002352783</v>
      </c>
      <c r="C16" s="164">
        <v>0.01771943</v>
      </c>
      <c r="D16" s="164">
        <v>0.01814667</v>
      </c>
      <c r="E16" s="164">
        <v>0.008283577</v>
      </c>
      <c r="F16" s="164">
        <v>-0.03335094</v>
      </c>
      <c r="G16" s="164">
        <v>0.006508936</v>
      </c>
    </row>
    <row r="17" spans="1:7" ht="12.75">
      <c r="A17" s="163" t="s">
        <v>109</v>
      </c>
      <c r="B17" s="164">
        <v>0.0007676834</v>
      </c>
      <c r="C17" s="164">
        <v>-0.004484743</v>
      </c>
      <c r="D17" s="164">
        <v>0.003063972</v>
      </c>
      <c r="E17" s="164">
        <v>-0.002874175</v>
      </c>
      <c r="F17" s="164">
        <v>-0.01041911</v>
      </c>
      <c r="G17" s="164">
        <v>-0.002314789</v>
      </c>
    </row>
    <row r="18" spans="1:7" ht="12.75">
      <c r="A18" s="163" t="s">
        <v>111</v>
      </c>
      <c r="B18" s="164">
        <v>0.01543928</v>
      </c>
      <c r="C18" s="164">
        <v>0.01784371</v>
      </c>
      <c r="D18" s="164">
        <v>0.03362138</v>
      </c>
      <c r="E18" s="164">
        <v>0.03244895</v>
      </c>
      <c r="F18" s="164">
        <v>0.01085667</v>
      </c>
      <c r="G18" s="164">
        <v>0.0238734</v>
      </c>
    </row>
    <row r="19" spans="1:7" ht="12.75">
      <c r="A19" s="163" t="s">
        <v>113</v>
      </c>
      <c r="B19" s="164">
        <v>-0.198004</v>
      </c>
      <c r="C19" s="164">
        <v>-0.1786551</v>
      </c>
      <c r="D19" s="164">
        <v>-0.1834551</v>
      </c>
      <c r="E19" s="164">
        <v>-0.1748855</v>
      </c>
      <c r="F19" s="164">
        <v>-0.1395909</v>
      </c>
      <c r="G19" s="164">
        <v>-0.1764806</v>
      </c>
    </row>
    <row r="20" spans="1:7" ht="12.75">
      <c r="A20" s="163" t="s">
        <v>115</v>
      </c>
      <c r="B20" s="164">
        <v>-0.002446046</v>
      </c>
      <c r="C20" s="164">
        <v>-0.002990363</v>
      </c>
      <c r="D20" s="164">
        <v>0.000441461</v>
      </c>
      <c r="E20" s="164">
        <v>0.001058185</v>
      </c>
      <c r="F20" s="164">
        <v>-0.002655396</v>
      </c>
      <c r="G20" s="164">
        <v>-0.001067096</v>
      </c>
    </row>
    <row r="21" spans="1:7" ht="12.75">
      <c r="A21" s="163" t="s">
        <v>139</v>
      </c>
      <c r="B21" s="164">
        <v>-133.7196</v>
      </c>
      <c r="C21" s="164">
        <v>66.70586</v>
      </c>
      <c r="D21" s="164">
        <v>119.1329</v>
      </c>
      <c r="E21" s="164">
        <v>-27.80792</v>
      </c>
      <c r="F21" s="164">
        <v>-140.0087</v>
      </c>
      <c r="G21" s="164">
        <v>-0.002054669</v>
      </c>
    </row>
    <row r="22" spans="1:7" ht="12.75">
      <c r="A22" s="163" t="s">
        <v>140</v>
      </c>
      <c r="B22" s="164">
        <v>92.39525</v>
      </c>
      <c r="C22" s="164">
        <v>-2.552742</v>
      </c>
      <c r="D22" s="164">
        <v>-21.00417</v>
      </c>
      <c r="E22" s="164">
        <v>-16.14931</v>
      </c>
      <c r="F22" s="164">
        <v>-28.40084</v>
      </c>
      <c r="G22" s="164">
        <v>0</v>
      </c>
    </row>
    <row r="23" spans="1:7" ht="12.75">
      <c r="A23" s="163" t="s">
        <v>92</v>
      </c>
      <c r="B23" s="164">
        <v>-0.09345308</v>
      </c>
      <c r="C23" s="164">
        <v>-0.3834887</v>
      </c>
      <c r="D23" s="164">
        <v>1.6564</v>
      </c>
      <c r="E23" s="164">
        <v>0.9631968</v>
      </c>
      <c r="F23" s="164">
        <v>7.196438</v>
      </c>
      <c r="G23" s="164">
        <v>1.485763</v>
      </c>
    </row>
    <row r="24" spans="1:7" ht="12.75">
      <c r="A24" s="163" t="s">
        <v>94</v>
      </c>
      <c r="B24" s="164">
        <v>-1.288297</v>
      </c>
      <c r="C24" s="164">
        <v>-1.370802</v>
      </c>
      <c r="D24" s="164">
        <v>-1.128886</v>
      </c>
      <c r="E24" s="164">
        <v>1.957487</v>
      </c>
      <c r="F24" s="164">
        <v>2.554349</v>
      </c>
      <c r="G24" s="164">
        <v>0.02457115</v>
      </c>
    </row>
    <row r="25" spans="1:7" ht="12.75">
      <c r="A25" s="163" t="s">
        <v>96</v>
      </c>
      <c r="B25" s="164">
        <v>0.3916642</v>
      </c>
      <c r="C25" s="164">
        <v>0.3516618</v>
      </c>
      <c r="D25" s="164">
        <v>1.164504</v>
      </c>
      <c r="E25" s="164">
        <v>0.4716656</v>
      </c>
      <c r="F25" s="164">
        <v>-2.41485</v>
      </c>
      <c r="G25" s="164">
        <v>0.2123201</v>
      </c>
    </row>
    <row r="26" spans="1:7" ht="12.75">
      <c r="A26" s="163" t="s">
        <v>98</v>
      </c>
      <c r="B26" s="164">
        <v>0.7092936</v>
      </c>
      <c r="C26" s="164">
        <v>-0.5248422</v>
      </c>
      <c r="D26" s="164">
        <v>-0.3590926</v>
      </c>
      <c r="E26" s="164">
        <v>0.05623001</v>
      </c>
      <c r="F26" s="164">
        <v>1.957203</v>
      </c>
      <c r="G26" s="164">
        <v>0.1647527</v>
      </c>
    </row>
    <row r="27" spans="1:7" ht="12.75">
      <c r="A27" s="163" t="s">
        <v>100</v>
      </c>
      <c r="B27" s="164">
        <v>0.3283005</v>
      </c>
      <c r="C27" s="164">
        <v>0.05682116</v>
      </c>
      <c r="D27" s="164">
        <v>0.2999218</v>
      </c>
      <c r="E27" s="164">
        <v>0.0289994</v>
      </c>
      <c r="F27" s="164">
        <v>0.2850471</v>
      </c>
      <c r="G27" s="164">
        <v>0.1783275</v>
      </c>
    </row>
    <row r="28" spans="1:7" ht="12.75">
      <c r="A28" s="163" t="s">
        <v>102</v>
      </c>
      <c r="B28" s="164">
        <v>-0.0002688954</v>
      </c>
      <c r="C28" s="164">
        <v>-0.01802753</v>
      </c>
      <c r="D28" s="164">
        <v>0.1073004</v>
      </c>
      <c r="E28" s="164">
        <v>0.2896034</v>
      </c>
      <c r="F28" s="164">
        <v>0.2041236</v>
      </c>
      <c r="G28" s="164">
        <v>0.1183938</v>
      </c>
    </row>
    <row r="29" spans="1:7" ht="12.75">
      <c r="A29" s="163" t="s">
        <v>104</v>
      </c>
      <c r="B29" s="164">
        <v>0.05965824</v>
      </c>
      <c r="C29" s="164">
        <v>0.03007484</v>
      </c>
      <c r="D29" s="164">
        <v>0.01194601</v>
      </c>
      <c r="E29" s="164">
        <v>0.008810597</v>
      </c>
      <c r="F29" s="164">
        <v>-0.004414582</v>
      </c>
      <c r="G29" s="164">
        <v>0.02026457</v>
      </c>
    </row>
    <row r="30" spans="1:7" ht="12.75">
      <c r="A30" s="163" t="s">
        <v>106</v>
      </c>
      <c r="B30" s="164">
        <v>0.03547403</v>
      </c>
      <c r="C30" s="164">
        <v>-0.08192039</v>
      </c>
      <c r="D30" s="164">
        <v>-0.0139972</v>
      </c>
      <c r="E30" s="164">
        <v>-0.05784633</v>
      </c>
      <c r="F30" s="164">
        <v>0.3219496</v>
      </c>
      <c r="G30" s="164">
        <v>0.01112701</v>
      </c>
    </row>
    <row r="31" spans="1:7" ht="12.75">
      <c r="A31" s="163" t="s">
        <v>108</v>
      </c>
      <c r="B31" s="164">
        <v>0.01198284</v>
      </c>
      <c r="C31" s="164">
        <v>0.01205459</v>
      </c>
      <c r="D31" s="164">
        <v>-0.01600148</v>
      </c>
      <c r="E31" s="164">
        <v>-0.02468368</v>
      </c>
      <c r="F31" s="164">
        <v>0.009267839</v>
      </c>
      <c r="G31" s="164">
        <v>-0.003918444</v>
      </c>
    </row>
    <row r="32" spans="1:7" ht="12.75">
      <c r="A32" s="163" t="s">
        <v>110</v>
      </c>
      <c r="B32" s="164">
        <v>0.01960881</v>
      </c>
      <c r="C32" s="164">
        <v>-0.0128818</v>
      </c>
      <c r="D32" s="164">
        <v>0.02578913</v>
      </c>
      <c r="E32" s="164">
        <v>0.02833822</v>
      </c>
      <c r="F32" s="164">
        <v>0.008712154</v>
      </c>
      <c r="G32" s="164">
        <v>0.01392049</v>
      </c>
    </row>
    <row r="33" spans="1:7" ht="12.75">
      <c r="A33" s="163" t="s">
        <v>112</v>
      </c>
      <c r="B33" s="164">
        <v>0.085255</v>
      </c>
      <c r="C33" s="164">
        <v>0.03422451</v>
      </c>
      <c r="D33" s="164">
        <v>0.01812434</v>
      </c>
      <c r="E33" s="164">
        <v>0.04828842</v>
      </c>
      <c r="F33" s="164">
        <v>0.04390227</v>
      </c>
      <c r="G33" s="164">
        <v>0.04240272</v>
      </c>
    </row>
    <row r="34" spans="1:7" ht="12.75">
      <c r="A34" s="163" t="s">
        <v>114</v>
      </c>
      <c r="B34" s="164">
        <v>0.005852043</v>
      </c>
      <c r="C34" s="164">
        <v>0.01052301</v>
      </c>
      <c r="D34" s="164">
        <v>0.01737743</v>
      </c>
      <c r="E34" s="164">
        <v>0.0150605</v>
      </c>
      <c r="F34" s="164">
        <v>-0.007158913</v>
      </c>
      <c r="G34" s="164">
        <v>0.01022754</v>
      </c>
    </row>
    <row r="35" spans="1:7" ht="12.75">
      <c r="A35" s="163" t="s">
        <v>116</v>
      </c>
      <c r="B35" s="164">
        <v>-0.003906909</v>
      </c>
      <c r="C35" s="164">
        <v>4.582125E-05</v>
      </c>
      <c r="D35" s="164">
        <v>-0.002448708</v>
      </c>
      <c r="E35" s="164">
        <v>-0.00146915</v>
      </c>
      <c r="F35" s="164">
        <v>0.005023285</v>
      </c>
      <c r="G35" s="164">
        <v>-0.0008251842</v>
      </c>
    </row>
    <row r="36" spans="1:6" ht="12.75">
      <c r="A36" s="163" t="s">
        <v>141</v>
      </c>
      <c r="B36" s="164">
        <v>16.72363</v>
      </c>
      <c r="C36" s="164">
        <v>16.73279</v>
      </c>
      <c r="D36" s="164">
        <v>16.75415</v>
      </c>
      <c r="E36" s="164">
        <v>16.76636</v>
      </c>
      <c r="F36" s="164">
        <v>16.79077</v>
      </c>
    </row>
    <row r="37" spans="1:6" ht="12.75">
      <c r="A37" s="163" t="s">
        <v>142</v>
      </c>
      <c r="B37" s="164">
        <v>0.4185995</v>
      </c>
      <c r="C37" s="164">
        <v>0.4089356</v>
      </c>
      <c r="D37" s="164">
        <v>0.402832</v>
      </c>
      <c r="E37" s="164">
        <v>0.3936768</v>
      </c>
      <c r="F37" s="164">
        <v>0.390625</v>
      </c>
    </row>
    <row r="38" spans="1:7" ht="12.75">
      <c r="A38" s="163" t="s">
        <v>143</v>
      </c>
      <c r="B38" s="164">
        <v>-0.0001025282</v>
      </c>
      <c r="C38" s="164">
        <v>1.645013E-05</v>
      </c>
      <c r="D38" s="164">
        <v>4.750981E-05</v>
      </c>
      <c r="E38" s="164">
        <v>2.111679E-05</v>
      </c>
      <c r="F38" s="164">
        <v>-4.002715E-05</v>
      </c>
      <c r="G38" s="164">
        <v>0.0002787324</v>
      </c>
    </row>
    <row r="39" spans="1:7" ht="12.75">
      <c r="A39" s="163" t="s">
        <v>144</v>
      </c>
      <c r="B39" s="164">
        <v>0.0002282707</v>
      </c>
      <c r="C39" s="164">
        <v>-0.0001133958</v>
      </c>
      <c r="D39" s="164">
        <v>-0.0002024261</v>
      </c>
      <c r="E39" s="164">
        <v>4.730756E-05</v>
      </c>
      <c r="F39" s="164">
        <v>0.0002379012</v>
      </c>
      <c r="G39" s="164">
        <v>0.0004984303</v>
      </c>
    </row>
    <row r="40" spans="2:5" ht="12.75">
      <c r="B40" s="163" t="s">
        <v>145</v>
      </c>
      <c r="C40" s="163">
        <v>-0.003746</v>
      </c>
      <c r="D40" s="163" t="s">
        <v>146</v>
      </c>
      <c r="E40" s="163">
        <v>3.11636</v>
      </c>
    </row>
    <row r="42" ht="12.75">
      <c r="A42" s="163" t="s">
        <v>147</v>
      </c>
    </row>
    <row r="43" spans="1:6" ht="12.75">
      <c r="A43" s="163" t="s">
        <v>148</v>
      </c>
      <c r="B43" s="163">
        <v>10</v>
      </c>
      <c r="C43" s="163">
        <v>10</v>
      </c>
      <c r="D43" s="163">
        <v>10</v>
      </c>
      <c r="E43" s="163">
        <v>10</v>
      </c>
      <c r="F43" s="163">
        <v>10</v>
      </c>
    </row>
    <row r="44" spans="1:10" ht="12.75">
      <c r="A44" s="163" t="s">
        <v>149</v>
      </c>
      <c r="B44" s="163">
        <v>12.515</v>
      </c>
      <c r="C44" s="163">
        <v>12.515</v>
      </c>
      <c r="D44" s="163">
        <v>12.515</v>
      </c>
      <c r="E44" s="163">
        <v>12.515</v>
      </c>
      <c r="F44" s="163">
        <v>12.515</v>
      </c>
      <c r="J44" s="163">
        <v>12.515</v>
      </c>
    </row>
    <row r="50" spans="1:7" ht="12.75">
      <c r="A50" s="163" t="s">
        <v>150</v>
      </c>
      <c r="B50" s="163">
        <f>-0.017/(B7*B7+B22*B22)*(B21*B22+B6*B7)</f>
        <v>-0.00010252818279156715</v>
      </c>
      <c r="C50" s="163">
        <f>-0.017/(C7*C7+C22*C22)*(C21*C22+C6*C7)</f>
        <v>1.6450132712608047E-05</v>
      </c>
      <c r="D50" s="163">
        <f>-0.017/(D7*D7+D22*D22)*(D21*D22+D6*D7)</f>
        <v>4.750980730484567E-05</v>
      </c>
      <c r="E50" s="163">
        <f>-0.017/(E7*E7+E22*E22)*(E21*E22+E6*E7)</f>
        <v>2.1116787544882023E-05</v>
      </c>
      <c r="F50" s="163">
        <f>-0.017/(F7*F7+F22*F22)*(F21*F22+F6*F7)</f>
        <v>-4.002714013484286E-05</v>
      </c>
      <c r="G50" s="163">
        <f>(B50*B$4+C50*C$4+D50*D$4+E50*E$4+F50*F$4)/SUM(B$4:F$4)</f>
        <v>3.0587307461637196E-07</v>
      </c>
    </row>
    <row r="51" spans="1:7" ht="12.75">
      <c r="A51" s="163" t="s">
        <v>151</v>
      </c>
      <c r="B51" s="163">
        <f>-0.017/(B7*B7+B22*B22)*(B21*B7-B6*B22)</f>
        <v>0.00022827063170810733</v>
      </c>
      <c r="C51" s="163">
        <f>-0.017/(C7*C7+C22*C22)*(C21*C7-C6*C22)</f>
        <v>-0.00011339576270553192</v>
      </c>
      <c r="D51" s="163">
        <f>-0.017/(D7*D7+D22*D22)*(D21*D7-D6*D22)</f>
        <v>-0.00020242613959307022</v>
      </c>
      <c r="E51" s="163">
        <f>-0.017/(E7*E7+E22*E22)*(E21*E7-E6*E22)</f>
        <v>4.7307566154826646E-05</v>
      </c>
      <c r="F51" s="163">
        <f>-0.017/(F7*F7+F22*F22)*(F21*F7-F6*F22)</f>
        <v>0.00023790110955973728</v>
      </c>
      <c r="G51" s="163">
        <f>(B51*B$4+C51*C$4+D51*D$4+E51*E$4+F51*F$4)/SUM(B$4:F$4)</f>
        <v>1.5671968267744697E-07</v>
      </c>
    </row>
    <row r="58" ht="12.75">
      <c r="A58" s="163" t="s">
        <v>153</v>
      </c>
    </row>
    <row r="60" spans="2:6" ht="12.75">
      <c r="B60" s="163" t="s">
        <v>84</v>
      </c>
      <c r="C60" s="163" t="s">
        <v>85</v>
      </c>
      <c r="D60" s="163" t="s">
        <v>86</v>
      </c>
      <c r="E60" s="163" t="s">
        <v>87</v>
      </c>
      <c r="F60" s="163" t="s">
        <v>88</v>
      </c>
    </row>
    <row r="61" spans="1:6" ht="12.75">
      <c r="A61" s="163" t="s">
        <v>155</v>
      </c>
      <c r="B61" s="163">
        <f>B6+(1/0.017)*(B7*B50-B22*B51)</f>
        <v>0</v>
      </c>
      <c r="C61" s="163">
        <f>C6+(1/0.017)*(C7*C50-C22*C51)</f>
        <v>0</v>
      </c>
      <c r="D61" s="163">
        <f>D6+(1/0.017)*(D7*D50-D22*D51)</f>
        <v>0</v>
      </c>
      <c r="E61" s="163">
        <f>E6+(1/0.017)*(E7*E50-E22*E51)</f>
        <v>0</v>
      </c>
      <c r="F61" s="163">
        <f>F6+(1/0.017)*(F7*F50-F22*F51)</f>
        <v>0</v>
      </c>
    </row>
    <row r="62" spans="1:6" ht="12.75">
      <c r="A62" s="163" t="s">
        <v>158</v>
      </c>
      <c r="B62" s="163">
        <f>B7+(2/0.017)*(B8*B50-B23*B51)</f>
        <v>10000.041284500543</v>
      </c>
      <c r="C62" s="163">
        <f>C7+(2/0.017)*(C8*C50-C23*C51)</f>
        <v>9999.994921684927</v>
      </c>
      <c r="D62" s="163">
        <f>D7+(2/0.017)*(D8*D50-D23*D51)</f>
        <v>10000.045039000845</v>
      </c>
      <c r="E62" s="163">
        <f>E7+(2/0.017)*(E8*E50-E23*E51)</f>
        <v>9999.99352137684</v>
      </c>
      <c r="F62" s="163">
        <f>F7+(2/0.017)*(F8*F50-F23*F51)</f>
        <v>9999.821137397832</v>
      </c>
    </row>
    <row r="63" spans="1:6" ht="12.75">
      <c r="A63" s="163" t="s">
        <v>159</v>
      </c>
      <c r="B63" s="163">
        <f>B8+(3/0.017)*(B9*B50-B24*B51)</f>
        <v>-3.1585806755351857</v>
      </c>
      <c r="C63" s="163">
        <f>C8+(3/0.017)*(C9*C50-C24*C51)</f>
        <v>-0.005937118359972869</v>
      </c>
      <c r="D63" s="163">
        <f>D8+(3/0.017)*(D9*D50-D24*D51)</f>
        <v>0.963254576948656</v>
      </c>
      <c r="E63" s="163">
        <f>E8+(3/0.017)*(E9*E50-E24*E51)</f>
        <v>-0.46485925683182205</v>
      </c>
      <c r="F63" s="163">
        <f>F8+(3/0.017)*(F9*F50-F24*F51)</f>
        <v>-4.8887812838833495</v>
      </c>
    </row>
    <row r="64" spans="1:6" ht="12.75">
      <c r="A64" s="163" t="s">
        <v>160</v>
      </c>
      <c r="B64" s="163">
        <f>B9+(4/0.017)*(B10*B50-B25*B51)</f>
        <v>-0.2541162172443066</v>
      </c>
      <c r="C64" s="163">
        <f>C9+(4/0.017)*(C10*C50-C25*C51)</f>
        <v>0.7049597724207652</v>
      </c>
      <c r="D64" s="163">
        <f>D9+(4/0.017)*(D10*D50-D25*D51)</f>
        <v>0.4201134484588762</v>
      </c>
      <c r="E64" s="163">
        <f>E9+(4/0.017)*(E10*E50-E25*E51)</f>
        <v>0.38341149185041606</v>
      </c>
      <c r="F64" s="163">
        <f>F9+(4/0.017)*(F10*F50-F25*F51)</f>
        <v>-0.9885222961604007</v>
      </c>
    </row>
    <row r="65" spans="1:6" ht="12.75">
      <c r="A65" s="163" t="s">
        <v>161</v>
      </c>
      <c r="B65" s="163">
        <f>B10+(5/0.017)*(B11*B50-B26*B51)</f>
        <v>0.08478764223273666</v>
      </c>
      <c r="C65" s="163">
        <f>C10+(5/0.017)*(C11*C50-C26*C51)</f>
        <v>-0.2561671491227713</v>
      </c>
      <c r="D65" s="163">
        <f>D10+(5/0.017)*(D11*D50-D26*D51)</f>
        <v>-0.380101791604899</v>
      </c>
      <c r="E65" s="163">
        <f>E10+(5/0.017)*(E11*E50-E26*E51)</f>
        <v>0.09699219548579191</v>
      </c>
      <c r="F65" s="163">
        <f>F10+(5/0.017)*(F11*F50-F26*F51)</f>
        <v>-0.02560163000753113</v>
      </c>
    </row>
    <row r="66" spans="1:6" ht="12.75">
      <c r="A66" s="163" t="s">
        <v>162</v>
      </c>
      <c r="B66" s="163">
        <f>B11+(6/0.017)*(B12*B50-B27*B51)</f>
        <v>3.8209503208577806</v>
      </c>
      <c r="C66" s="163">
        <f>C11+(6/0.017)*(C12*C50-C27*C51)</f>
        <v>3.621920935028261</v>
      </c>
      <c r="D66" s="163">
        <f>D11+(6/0.017)*(D12*D50-D27*D51)</f>
        <v>3.8953611385126172</v>
      </c>
      <c r="E66" s="163">
        <f>E11+(6/0.017)*(E12*E50-E27*E51)</f>
        <v>3.3178065850823213</v>
      </c>
      <c r="F66" s="163">
        <f>F11+(6/0.017)*(F12*F50-F27*F51)</f>
        <v>14.233556781795773</v>
      </c>
    </row>
    <row r="67" spans="1:6" ht="12.75">
      <c r="A67" s="163" t="s">
        <v>163</v>
      </c>
      <c r="B67" s="163">
        <f>B12+(7/0.017)*(B13*B50-B28*B51)</f>
        <v>-0.13916267835479254</v>
      </c>
      <c r="C67" s="163">
        <f>C12+(7/0.017)*(C13*C50-C28*C51)</f>
        <v>0.15660520659559954</v>
      </c>
      <c r="D67" s="163">
        <f>D12+(7/0.017)*(D13*D50-D28*D51)</f>
        <v>0.08513971013383195</v>
      </c>
      <c r="E67" s="163">
        <f>E12+(7/0.017)*(E13*E50-E28*E51)</f>
        <v>-0.07308149666809748</v>
      </c>
      <c r="F67" s="163">
        <f>F12+(7/0.017)*(F13*F50-F28*F51)</f>
        <v>-0.5233170251166078</v>
      </c>
    </row>
    <row r="68" spans="1:6" ht="12.75">
      <c r="A68" s="163" t="s">
        <v>164</v>
      </c>
      <c r="B68" s="163">
        <f>B13+(8/0.017)*(B14*B50-B29*B51)</f>
        <v>0.04886993717107552</v>
      </c>
      <c r="C68" s="163">
        <f>C13+(8/0.017)*(C14*C50-C29*C51)</f>
        <v>0.033684244969440426</v>
      </c>
      <c r="D68" s="163">
        <f>D13+(8/0.017)*(D14*D50-D29*D51)</f>
        <v>-0.15649017651645813</v>
      </c>
      <c r="E68" s="163">
        <f>E13+(8/0.017)*(E14*E50-E29*E51)</f>
        <v>-0.02286882225467527</v>
      </c>
      <c r="F68" s="163">
        <f>F13+(8/0.017)*(F14*F50-F29*F51)</f>
        <v>-0.08895616138954042</v>
      </c>
    </row>
    <row r="69" spans="1:6" ht="12.75">
      <c r="A69" s="163" t="s">
        <v>165</v>
      </c>
      <c r="B69" s="163">
        <f>B14+(9/0.017)*(B15*B50-B30*B51)</f>
        <v>-0.05651431312570192</v>
      </c>
      <c r="C69" s="163">
        <f>C14+(9/0.017)*(C15*C50-C30*C51)</f>
        <v>-0.0958155195773478</v>
      </c>
      <c r="D69" s="163">
        <f>D14+(9/0.017)*(D15*D50-D30*D51)</f>
        <v>-0.13731461906168654</v>
      </c>
      <c r="E69" s="163">
        <f>E14+(9/0.017)*(E15*E50-E30*E51)</f>
        <v>-0.08751103232611862</v>
      </c>
      <c r="F69" s="163">
        <f>F14+(9/0.017)*(F15*F50-F30*F51)</f>
        <v>0.09631911811168903</v>
      </c>
    </row>
    <row r="70" spans="1:6" ht="12.75">
      <c r="A70" s="163" t="s">
        <v>166</v>
      </c>
      <c r="B70" s="163">
        <f>B15+(10/0.017)*(B16*B50-B31*B51)</f>
        <v>-0.2765561158952648</v>
      </c>
      <c r="C70" s="163">
        <f>C15+(10/0.017)*(C16*C50-C31*C51)</f>
        <v>-0.0074777260575033845</v>
      </c>
      <c r="D70" s="163">
        <f>D15+(10/0.017)*(D16*D50-D31*D51)</f>
        <v>0.048506490571028765</v>
      </c>
      <c r="E70" s="163">
        <f>E15+(10/0.017)*(E16*E50-E31*E51)</f>
        <v>-0.026880037435196916</v>
      </c>
      <c r="F70" s="163">
        <f>F15+(10/0.017)*(F16*F50-F31*F51)</f>
        <v>-0.3147140979013602</v>
      </c>
    </row>
    <row r="71" spans="1:6" ht="12.75">
      <c r="A71" s="163" t="s">
        <v>167</v>
      </c>
      <c r="B71" s="163">
        <f>B16+(11/0.017)*(B17*B50-B32*B51)</f>
        <v>-0.0005944564662800321</v>
      </c>
      <c r="C71" s="163">
        <f>C16+(11/0.017)*(C17*C50-C32*C51)</f>
        <v>0.016726507782995725</v>
      </c>
      <c r="D71" s="163">
        <f>D16+(11/0.017)*(D17*D50-D32*D51)</f>
        <v>0.021618763543257886</v>
      </c>
      <c r="E71" s="163">
        <f>E16+(11/0.017)*(E17*E50-E32*E51)</f>
        <v>0.0073768498728105725</v>
      </c>
      <c r="F71" s="163">
        <f>F16+(11/0.017)*(F17*F50-F32*F51)</f>
        <v>-0.03442220018819145</v>
      </c>
    </row>
    <row r="72" spans="1:6" ht="12.75">
      <c r="A72" s="163" t="s">
        <v>168</v>
      </c>
      <c r="B72" s="163">
        <f>B17+(12/0.017)*(B18*B50-B33*B51)</f>
        <v>-0.014087027678789324</v>
      </c>
      <c r="C72" s="163">
        <f>C17+(12/0.017)*(C18*C50-C33*C51)</f>
        <v>-0.001538075367817603</v>
      </c>
      <c r="D72" s="163">
        <f>D17+(12/0.017)*(D18*D50-D33*D51)</f>
        <v>0.006781279386349594</v>
      </c>
      <c r="E72" s="163">
        <f>E17+(12/0.017)*(E18*E50-E33*E51)</f>
        <v>-0.004003015028558274</v>
      </c>
      <c r="F72" s="163">
        <f>F17+(12/0.017)*(F18*F50-F33*F51)</f>
        <v>-0.018098376021185116</v>
      </c>
    </row>
    <row r="73" spans="1:6" ht="12.75">
      <c r="A73" s="163" t="s">
        <v>169</v>
      </c>
      <c r="B73" s="163">
        <f>B18+(13/0.017)*(B19*B50-B34*B51)</f>
        <v>0.029942034693522936</v>
      </c>
      <c r="C73" s="163">
        <f>C18+(13/0.017)*(C19*C50-C34*C51)</f>
        <v>0.01650881237185928</v>
      </c>
      <c r="D73" s="163">
        <f>D18+(13/0.017)*(D19*D50-D34*D51)</f>
        <v>0.029646232063008763</v>
      </c>
      <c r="E73" s="163">
        <f>E18+(13/0.017)*(E19*E50-E34*E51)</f>
        <v>0.029080041639569527</v>
      </c>
      <c r="F73" s="163">
        <f>F18+(13/0.017)*(F19*F50-F34*F51)</f>
        <v>0.016431787188428002</v>
      </c>
    </row>
    <row r="74" spans="1:6" ht="12.75">
      <c r="A74" s="163" t="s">
        <v>170</v>
      </c>
      <c r="B74" s="163">
        <f>B19+(14/0.017)*(B20*B50-B35*B51)</f>
        <v>-0.1970630178049383</v>
      </c>
      <c r="C74" s="163">
        <f>C19+(14/0.017)*(C20*C50-C35*C51)</f>
        <v>-0.17869133194450812</v>
      </c>
      <c r="D74" s="163">
        <f>D19+(14/0.017)*(D20*D50-D35*D51)</f>
        <v>-0.18384603664267254</v>
      </c>
      <c r="E74" s="163">
        <f>E19+(14/0.017)*(E20*E50-E35*E51)</f>
        <v>-0.17480986098229273</v>
      </c>
      <c r="F74" s="163">
        <f>F19+(14/0.017)*(F20*F50-F35*F51)</f>
        <v>-0.14048752354956529</v>
      </c>
    </row>
    <row r="75" spans="1:6" ht="12.75">
      <c r="A75" s="163" t="s">
        <v>171</v>
      </c>
      <c r="B75" s="164">
        <f>B20</f>
        <v>-0.002446046</v>
      </c>
      <c r="C75" s="164">
        <f>C20</f>
        <v>-0.002990363</v>
      </c>
      <c r="D75" s="164">
        <f>D20</f>
        <v>0.000441461</v>
      </c>
      <c r="E75" s="164">
        <f>E20</f>
        <v>0.001058185</v>
      </c>
      <c r="F75" s="164">
        <f>F20</f>
        <v>-0.002655396</v>
      </c>
    </row>
    <row r="78" ht="12.75">
      <c r="A78" s="163" t="s">
        <v>153</v>
      </c>
    </row>
    <row r="80" spans="2:6" ht="12.75">
      <c r="B80" s="163" t="s">
        <v>84</v>
      </c>
      <c r="C80" s="163" t="s">
        <v>85</v>
      </c>
      <c r="D80" s="163" t="s">
        <v>86</v>
      </c>
      <c r="E80" s="163" t="s">
        <v>87</v>
      </c>
      <c r="F80" s="163" t="s">
        <v>88</v>
      </c>
    </row>
    <row r="81" spans="1:6" ht="12.75">
      <c r="A81" s="163" t="s">
        <v>172</v>
      </c>
      <c r="B81" s="163">
        <f>B21+(1/0.017)*(B7*B51+B22*B50)</f>
        <v>0</v>
      </c>
      <c r="C81" s="163">
        <f>C21+(1/0.017)*(C7*C51+C22*C50)</f>
        <v>0</v>
      </c>
      <c r="D81" s="163">
        <f>D21+(1/0.017)*(D7*D51+D22*D50)</f>
        <v>0</v>
      </c>
      <c r="E81" s="163">
        <f>E21+(1/0.017)*(E7*E51+E22*E50)</f>
        <v>0</v>
      </c>
      <c r="F81" s="163">
        <f>F21+(1/0.017)*(F7*F51+F22*F50)</f>
        <v>0</v>
      </c>
    </row>
    <row r="82" spans="1:6" ht="12.75">
      <c r="A82" s="163" t="s">
        <v>173</v>
      </c>
      <c r="B82" s="163">
        <f>B22+(2/0.017)*(B8*B51+B23*B50)</f>
        <v>92.31004835265514</v>
      </c>
      <c r="C82" s="163">
        <f>C22+(2/0.017)*(C8*C51+C23*C50)</f>
        <v>-2.5537439378934788</v>
      </c>
      <c r="D82" s="163">
        <f>D22+(2/0.017)*(D8*D51+D23*D50)</f>
        <v>-21.018738126053062</v>
      </c>
      <c r="E82" s="163">
        <f>E22+(2/0.017)*(E8*E51+E23*E50)</f>
        <v>-16.14942142278824</v>
      </c>
      <c r="F82" s="163">
        <f>F22+(2/0.017)*(F8*F51+F23*F50)</f>
        <v>-28.568777783093164</v>
      </c>
    </row>
    <row r="83" spans="1:6" ht="12.75">
      <c r="A83" s="163" t="s">
        <v>174</v>
      </c>
      <c r="B83" s="163">
        <f>B23+(3/0.017)*(B9*B51+B24*B50)</f>
        <v>-0.07929153593102876</v>
      </c>
      <c r="C83" s="163">
        <f>C23+(3/0.017)*(C9*C51+C24*C50)</f>
        <v>-0.401407133733563</v>
      </c>
      <c r="D83" s="163">
        <f>D23+(3/0.017)*(D9*D51+D24*D50)</f>
        <v>1.633744398624689</v>
      </c>
      <c r="E83" s="163">
        <f>E23+(3/0.017)*(E9*E51+E24*E50)</f>
        <v>0.9737328597290474</v>
      </c>
      <c r="F83" s="163">
        <f>F23+(3/0.017)*(F9*F51+F24*F50)</f>
        <v>7.13132973334659</v>
      </c>
    </row>
    <row r="84" spans="1:6" ht="12.75">
      <c r="A84" s="163" t="s">
        <v>175</v>
      </c>
      <c r="B84" s="163">
        <f>B24+(4/0.017)*(B10*B51+B25*B50)</f>
        <v>-1.2844103842357284</v>
      </c>
      <c r="C84" s="163">
        <f>C24+(4/0.017)*(C10*C51+C25*C50)</f>
        <v>-1.362605856026554</v>
      </c>
      <c r="D84" s="163">
        <f>D24+(4/0.017)*(D10*D51+D25*D50)</f>
        <v>-1.096205012024472</v>
      </c>
      <c r="E84" s="163">
        <f>E24+(4/0.017)*(E10*E51+E25*E50)</f>
        <v>1.9606894508838302</v>
      </c>
      <c r="F84" s="163">
        <f>F24+(4/0.017)*(F10*F51+F25*F50)</f>
        <v>2.592716125782264</v>
      </c>
    </row>
    <row r="85" spans="1:6" ht="12.75">
      <c r="A85" s="163" t="s">
        <v>176</v>
      </c>
      <c r="B85" s="163">
        <f>B25+(5/0.017)*(B11*B51+B26*B50)</f>
        <v>0.6282507608937371</v>
      </c>
      <c r="C85" s="163">
        <f>C25+(5/0.017)*(C11*C51+C26*C50)</f>
        <v>0.22843155711717134</v>
      </c>
      <c r="D85" s="163">
        <f>D25+(5/0.017)*(D11*D51+D26*D50)</f>
        <v>0.928922558661936</v>
      </c>
      <c r="E85" s="163">
        <f>E25+(5/0.017)*(E11*E51+E26*E50)</f>
        <v>0.51819247331439</v>
      </c>
      <c r="F85" s="163">
        <f>F25+(5/0.017)*(F11*F51+F26*F50)</f>
        <v>-1.4407808185669517</v>
      </c>
    </row>
    <row r="86" spans="1:6" ht="12.75">
      <c r="A86" s="163" t="s">
        <v>177</v>
      </c>
      <c r="B86" s="163">
        <f>B26+(6/0.017)*(B12*B51+B27*B50)</f>
        <v>0.6863767497236865</v>
      </c>
      <c r="C86" s="163">
        <f>C26+(6/0.017)*(C12*C51+C27*C50)</f>
        <v>-0.5308047606455001</v>
      </c>
      <c r="D86" s="163">
        <f>D26+(6/0.017)*(D12*D51+D27*D50)</f>
        <v>-0.3597232759440193</v>
      </c>
      <c r="E86" s="163">
        <f>E26+(6/0.017)*(E12*E51+E27*E50)</f>
        <v>0.05532327204299645</v>
      </c>
      <c r="F86" s="163">
        <f>F26+(6/0.017)*(F12*F51+F27*F50)</f>
        <v>1.910794264036706</v>
      </c>
    </row>
    <row r="87" spans="1:6" ht="12.75">
      <c r="A87" s="163" t="s">
        <v>178</v>
      </c>
      <c r="B87" s="163">
        <f>B27+(7/0.017)*(B13*B51+B28*B50)</f>
        <v>0.33320318832168583</v>
      </c>
      <c r="C87" s="163">
        <f>C27+(7/0.017)*(C13*C51+C28*C50)</f>
        <v>0.055168358163981836</v>
      </c>
      <c r="D87" s="163">
        <f>D27+(7/0.017)*(D13*D51+D28*D50)</f>
        <v>0.31490407878714016</v>
      </c>
      <c r="E87" s="163">
        <f>E27+(7/0.017)*(E13*E51+E28*E50)</f>
        <v>0.031093050490018034</v>
      </c>
      <c r="F87" s="163">
        <f>F27+(7/0.017)*(F13*F51+F28*F50)</f>
        <v>0.2731605490344487</v>
      </c>
    </row>
    <row r="88" spans="1:6" ht="12.75">
      <c r="A88" s="163" t="s">
        <v>179</v>
      </c>
      <c r="B88" s="163">
        <f>B28+(8/0.017)*(B14*B51+B29*B50)</f>
        <v>-0.010359987056949934</v>
      </c>
      <c r="C88" s="163">
        <f>C28+(8/0.017)*(C14*C51+C29*C50)</f>
        <v>-0.01294810013675068</v>
      </c>
      <c r="D88" s="163">
        <f>D28+(8/0.017)*(D14*D51+D29*D50)</f>
        <v>0.12062466498915575</v>
      </c>
      <c r="E88" s="163">
        <f>E28+(8/0.017)*(E14*E51+E29*E50)</f>
        <v>0.2877173828380288</v>
      </c>
      <c r="F88" s="163">
        <f>F28+(8/0.017)*(F14*F51+F29*F50)</f>
        <v>0.21878418126954882</v>
      </c>
    </row>
    <row r="89" spans="1:6" ht="12.75">
      <c r="A89" s="163" t="s">
        <v>180</v>
      </c>
      <c r="B89" s="163">
        <f>B29+(9/0.017)*(B15*B51+B30*B50)</f>
        <v>0.024522745888482543</v>
      </c>
      <c r="C89" s="163">
        <f>C29+(9/0.017)*(C15*C51+C30*C50)</f>
        <v>0.029868879672076264</v>
      </c>
      <c r="D89" s="163">
        <f>D29+(9/0.017)*(D15*D51+D30*D50)</f>
        <v>0.006245821846554609</v>
      </c>
      <c r="E89" s="163">
        <f>E29+(9/0.017)*(E15*E51+E30*E50)</f>
        <v>0.007470909425487619</v>
      </c>
      <c r="F89" s="163">
        <f>F29+(9/0.017)*(F15*F51+F30*F50)</f>
        <v>-0.05081001682805888</v>
      </c>
    </row>
    <row r="90" spans="1:6" ht="12.75">
      <c r="A90" s="163" t="s">
        <v>181</v>
      </c>
      <c r="B90" s="163">
        <f>B30+(10/0.017)*(B16*B51+B31*B50)</f>
        <v>0.03506726085399999</v>
      </c>
      <c r="C90" s="163">
        <f>C30+(10/0.017)*(C16*C51+C31*C50)</f>
        <v>-0.08298568922015365</v>
      </c>
      <c r="D90" s="163">
        <f>D30+(10/0.017)*(D16*D51+D31*D50)</f>
        <v>-0.016605192697624543</v>
      </c>
      <c r="E90" s="163">
        <f>E30+(10/0.017)*(E16*E51+E31*E50)</f>
        <v>-0.05792242656438809</v>
      </c>
      <c r="F90" s="163">
        <f>F30+(10/0.017)*(F16*F51+F31*F50)</f>
        <v>0.31706419369337624</v>
      </c>
    </row>
    <row r="91" spans="1:6" ht="12.75">
      <c r="A91" s="163" t="s">
        <v>182</v>
      </c>
      <c r="B91" s="163">
        <f>B31+(11/0.017)*(B17*B51+B32*B50)</f>
        <v>0.010795347241488935</v>
      </c>
      <c r="C91" s="163">
        <f>C31+(11/0.017)*(C17*C51+C32*C50)</f>
        <v>0.01224653581575919</v>
      </c>
      <c r="D91" s="163">
        <f>D31+(11/0.017)*(D17*D51+D32*D50)</f>
        <v>-0.01561000386447871</v>
      </c>
      <c r="E91" s="163">
        <f>E31+(11/0.017)*(E17*E51+E32*E50)</f>
        <v>-0.02438445285770248</v>
      </c>
      <c r="F91" s="163">
        <f>F31+(11/0.017)*(F17*F51+F32*F50)</f>
        <v>0.007438318716161638</v>
      </c>
    </row>
    <row r="92" spans="1:6" ht="12.75">
      <c r="A92" s="163" t="s">
        <v>183</v>
      </c>
      <c r="B92" s="163">
        <f>B32+(12/0.017)*(B18*B51+B33*B50)</f>
        <v>0.01592642927634585</v>
      </c>
      <c r="C92" s="163">
        <f>C32+(12/0.017)*(C18*C51+C33*C50)</f>
        <v>-0.013912672969474597</v>
      </c>
      <c r="D92" s="163">
        <f>D32+(12/0.017)*(D18*D51+D33*D50)</f>
        <v>0.021592827228048835</v>
      </c>
      <c r="E92" s="163">
        <f>E32+(12/0.017)*(E18*E51+E33*E50)</f>
        <v>0.03014159210926896</v>
      </c>
      <c r="F92" s="163">
        <f>F32+(12/0.017)*(F18*F51+F33*F50)</f>
        <v>0.009294882135714968</v>
      </c>
    </row>
    <row r="93" spans="1:6" ht="12.75">
      <c r="A93" s="163" t="s">
        <v>184</v>
      </c>
      <c r="B93" s="163">
        <f>B33+(13/0.017)*(B19*B51+B34*B50)</f>
        <v>0.050232619562539854</v>
      </c>
      <c r="C93" s="163">
        <f>C33+(13/0.017)*(C19*C51+C34*C50)</f>
        <v>0.04984885535752937</v>
      </c>
      <c r="D93" s="163">
        <f>D33+(13/0.017)*(D19*D51+D34*D50)</f>
        <v>0.04715387990714019</v>
      </c>
      <c r="E93" s="163">
        <f>E33+(13/0.017)*(E19*E51+E34*E50)</f>
        <v>0.04220489566086158</v>
      </c>
      <c r="F93" s="163">
        <f>F33+(13/0.017)*(F19*F51+F34*F50)</f>
        <v>0.0187264094501461</v>
      </c>
    </row>
    <row r="94" spans="1:6" ht="12.75">
      <c r="A94" s="163" t="s">
        <v>185</v>
      </c>
      <c r="B94" s="163">
        <f>B34+(14/0.017)*(B20*B51+B35*B50)</f>
        <v>0.005722096494289943</v>
      </c>
      <c r="C94" s="163">
        <f>C34+(14/0.017)*(C20*C51+C35*C50)</f>
        <v>0.010802885036654672</v>
      </c>
      <c r="D94" s="163">
        <f>D34+(14/0.017)*(D20*D51+D35*D50)</f>
        <v>0.01720802926604034</v>
      </c>
      <c r="E94" s="163">
        <f>E34+(14/0.017)*(E20*E51+E35*E50)</f>
        <v>0.015076177058739985</v>
      </c>
      <c r="F94" s="163">
        <f>F34+(14/0.017)*(F20*F51+F35*F50)</f>
        <v>-0.007844739554290494</v>
      </c>
    </row>
    <row r="95" spans="1:6" ht="12.75">
      <c r="A95" s="163" t="s">
        <v>186</v>
      </c>
      <c r="B95" s="164">
        <f>B35</f>
        <v>-0.003906909</v>
      </c>
      <c r="C95" s="164">
        <f>C35</f>
        <v>4.582125E-05</v>
      </c>
      <c r="D95" s="164">
        <f>D35</f>
        <v>-0.002448708</v>
      </c>
      <c r="E95" s="164">
        <f>E35</f>
        <v>-0.00146915</v>
      </c>
      <c r="F95" s="164">
        <f>F35</f>
        <v>0.005023285</v>
      </c>
    </row>
    <row r="98" ht="12.75">
      <c r="A98" s="163" t="s">
        <v>154</v>
      </c>
    </row>
    <row r="100" spans="2:11" ht="12.75">
      <c r="B100" s="163" t="s">
        <v>84</v>
      </c>
      <c r="C100" s="163" t="s">
        <v>85</v>
      </c>
      <c r="D100" s="163" t="s">
        <v>86</v>
      </c>
      <c r="E100" s="163" t="s">
        <v>87</v>
      </c>
      <c r="F100" s="163" t="s">
        <v>88</v>
      </c>
      <c r="G100" s="163" t="s">
        <v>156</v>
      </c>
      <c r="H100" s="163" t="s">
        <v>157</v>
      </c>
      <c r="I100" s="163" t="s">
        <v>152</v>
      </c>
      <c r="K100" s="163" t="s">
        <v>187</v>
      </c>
    </row>
    <row r="101" spans="1:9" ht="12.75">
      <c r="A101" s="163" t="s">
        <v>155</v>
      </c>
      <c r="B101" s="163">
        <f>B61*10000/B62</f>
        <v>0</v>
      </c>
      <c r="C101" s="163">
        <f>C61*10000/C62</f>
        <v>0</v>
      </c>
      <c r="D101" s="163">
        <f>D61*10000/D62</f>
        <v>0</v>
      </c>
      <c r="E101" s="163">
        <f>E61*10000/E62</f>
        <v>0</v>
      </c>
      <c r="F101" s="163">
        <f>F61*10000/F62</f>
        <v>0</v>
      </c>
      <c r="G101" s="163">
        <f>AVERAGE(C101:E101)</f>
        <v>0</v>
      </c>
      <c r="H101" s="163">
        <f>STDEV(C101:E101)</f>
        <v>0</v>
      </c>
      <c r="I101" s="163">
        <f>(B101*B4+C101*C4+D101*D4+E101*E4+F101*F4)/SUM(B4:F4)</f>
        <v>0</v>
      </c>
    </row>
    <row r="102" spans="1:9" ht="12.75">
      <c r="A102" s="163" t="s">
        <v>158</v>
      </c>
      <c r="B102" s="163">
        <f>B62*10000/B62</f>
        <v>10000</v>
      </c>
      <c r="C102" s="163">
        <f>C62*10000/C62</f>
        <v>10000</v>
      </c>
      <c r="D102" s="163">
        <f>D62*10000/D62</f>
        <v>10000</v>
      </c>
      <c r="E102" s="163">
        <f>E62*10000/E62</f>
        <v>10000</v>
      </c>
      <c r="F102" s="163">
        <f>F62*10000/F62</f>
        <v>10000</v>
      </c>
      <c r="G102" s="163">
        <f>AVERAGE(C102:E102)</f>
        <v>10000</v>
      </c>
      <c r="H102" s="163">
        <f>STDEV(C102:E102)</f>
        <v>0</v>
      </c>
      <c r="I102" s="163">
        <f>(B102*B4+C102*C4+D102*D4+E102*E4+F102*F4)/SUM(B4:F4)</f>
        <v>10000</v>
      </c>
    </row>
    <row r="103" spans="1:11" ht="12.75">
      <c r="A103" s="163" t="s">
        <v>159</v>
      </c>
      <c r="B103" s="163">
        <f>B63*10000/B62</f>
        <v>-3.158567635546459</v>
      </c>
      <c r="C103" s="163">
        <f>C63*10000/C62</f>
        <v>-0.005937121375030166</v>
      </c>
      <c r="D103" s="163">
        <f>D63*10000/D62</f>
        <v>0.9632502385658251</v>
      </c>
      <c r="E103" s="163">
        <f>E63*10000/E62</f>
        <v>-0.4648595579968119</v>
      </c>
      <c r="F103" s="163">
        <f>F63*10000/F62</f>
        <v>-4.888868727461575</v>
      </c>
      <c r="G103" s="163">
        <f>AVERAGE(C103:E103)</f>
        <v>0.16415118639799434</v>
      </c>
      <c r="H103" s="163">
        <f>STDEV(C103:E103)</f>
        <v>0.7290897901427248</v>
      </c>
      <c r="I103" s="163">
        <f>(B103*B4+C103*C4+D103*D4+E103*E4+F103*F4)/SUM(B4:F4)</f>
        <v>-0.9910049090377997</v>
      </c>
      <c r="K103" s="163">
        <f>(LN(H103)+LN(H123))/2-LN(K114*K115^3)</f>
        <v>-4.017736275789393</v>
      </c>
    </row>
    <row r="104" spans="1:11" ht="12.75">
      <c r="A104" s="163" t="s">
        <v>160</v>
      </c>
      <c r="B104" s="163">
        <f>B64*10000/B62</f>
        <v>-0.2541151681425269</v>
      </c>
      <c r="C104" s="163">
        <f>C64*10000/C62</f>
        <v>0.7049601304217309</v>
      </c>
      <c r="D104" s="163">
        <f>D64*10000/D62</f>
        <v>0.42011155631840225</v>
      </c>
      <c r="E104" s="163">
        <f>E64*10000/E62</f>
        <v>0.38341174024843405</v>
      </c>
      <c r="F104" s="163">
        <f>F64*10000/F62</f>
        <v>-0.9885399774436718</v>
      </c>
      <c r="G104" s="163">
        <f>AVERAGE(C104:E104)</f>
        <v>0.5028278089961891</v>
      </c>
      <c r="H104" s="163">
        <f>STDEV(C104:E104)</f>
        <v>0.1760108679841996</v>
      </c>
      <c r="I104" s="163">
        <f>(B104*B4+C104*C4+D104*D4+E104*E4+F104*F4)/SUM(B4:F4)</f>
        <v>0.19426543487166417</v>
      </c>
      <c r="K104" s="163">
        <f>(LN(H104)+LN(H124))/2-LN(K114*K115^4)</f>
        <v>-3.8491661058528193</v>
      </c>
    </row>
    <row r="105" spans="1:11" ht="12.75">
      <c r="A105" s="163" t="s">
        <v>161</v>
      </c>
      <c r="B105" s="163">
        <f>B65*10000/B62</f>
        <v>0.0847872921926356</v>
      </c>
      <c r="C105" s="163">
        <f>C65*10000/C62</f>
        <v>-0.2561672792125868</v>
      </c>
      <c r="D105" s="163">
        <f>D65*10000/D62</f>
        <v>-0.380100079672118</v>
      </c>
      <c r="E105" s="163">
        <f>E65*10000/E62</f>
        <v>0.09699225832342102</v>
      </c>
      <c r="F105" s="163">
        <f>F65*10000/F62</f>
        <v>-0.025602087933137993</v>
      </c>
      <c r="G105" s="163">
        <f>AVERAGE(C105:E105)</f>
        <v>-0.17975836685376123</v>
      </c>
      <c r="H105" s="163">
        <f>STDEV(C105:E105)</f>
        <v>0.24755406714373818</v>
      </c>
      <c r="I105" s="163">
        <f>(B105*B4+C105*C4+D105*D4+E105*E4+F105*F4)/SUM(B4:F4)</f>
        <v>-0.12092605686912528</v>
      </c>
      <c r="K105" s="163">
        <f>(LN(H105)+LN(H125))/2-LN(K114*K115^5)</f>
        <v>-3.9160787038981706</v>
      </c>
    </row>
    <row r="106" spans="1:11" ht="12.75">
      <c r="A106" s="163" t="s">
        <v>162</v>
      </c>
      <c r="B106" s="163">
        <f>B66*10000/B62</f>
        <v>3.8209345463203457</v>
      </c>
      <c r="C106" s="163">
        <f>C66*10000/C62</f>
        <v>3.6219227743547626</v>
      </c>
      <c r="D106" s="163">
        <f>D66*10000/D62</f>
        <v>3.895343594274274</v>
      </c>
      <c r="E106" s="163">
        <f>E66*10000/E62</f>
        <v>3.3178087345655722</v>
      </c>
      <c r="F106" s="163">
        <f>F66*10000/F62</f>
        <v>14.233811371449839</v>
      </c>
      <c r="G106" s="163">
        <f>AVERAGE(C106:E106)</f>
        <v>3.6116917010648693</v>
      </c>
      <c r="H106" s="163">
        <f>STDEV(C106:E106)</f>
        <v>0.28890333104723187</v>
      </c>
      <c r="I106" s="163">
        <f>(B106*B4+C106*C4+D106*D4+E106*E4+F106*F4)/SUM(B4:F4)</f>
        <v>5.060519977273212</v>
      </c>
      <c r="K106" s="163">
        <f>(LN(H106)+LN(H126))/2-LN(K114*K115^6)</f>
        <v>-3.3250898394995487</v>
      </c>
    </row>
    <row r="107" spans="1:11" ht="12.75">
      <c r="A107" s="163" t="s">
        <v>163</v>
      </c>
      <c r="B107" s="163">
        <f>B67*10000/B62</f>
        <v>-0.13916210383099742</v>
      </c>
      <c r="C107" s="163">
        <f>C67*10000/C62</f>
        <v>0.15660528612469804</v>
      </c>
      <c r="D107" s="163">
        <f>D67*10000/D62</f>
        <v>0.08513932667481135</v>
      </c>
      <c r="E107" s="163">
        <f>E67*10000/E62</f>
        <v>-0.07308154401487583</v>
      </c>
      <c r="F107" s="163">
        <f>F67*10000/F62</f>
        <v>-0.5233263854685166</v>
      </c>
      <c r="G107" s="163">
        <f>AVERAGE(C107:E107)</f>
        <v>0.056221022928211184</v>
      </c>
      <c r="H107" s="163">
        <f>STDEV(C107:E107)</f>
        <v>0.11754238045733477</v>
      </c>
      <c r="I107" s="163">
        <f>(B107*B4+C107*C4+D107*D4+E107*E4+F107*F4)/SUM(B4:F4)</f>
        <v>-0.04941395049669835</v>
      </c>
      <c r="K107" s="163">
        <f>(LN(H107)+LN(H127))/2-LN(K114*K115^7)</f>
        <v>-3.508359212509576</v>
      </c>
    </row>
    <row r="108" spans="1:9" ht="12.75">
      <c r="A108" s="163" t="s">
        <v>164</v>
      </c>
      <c r="B108" s="163">
        <f>B68*10000/B62</f>
        <v>0.04886973541481369</v>
      </c>
      <c r="C108" s="163">
        <f>C68*10000/C62</f>
        <v>0.03368426207537001</v>
      </c>
      <c r="D108" s="163">
        <f>D68*10000/D62</f>
        <v>-0.15648947170351332</v>
      </c>
      <c r="E108" s="163">
        <f>E68*10000/E62</f>
        <v>-0.02286883707053302</v>
      </c>
      <c r="F108" s="163">
        <f>F68*10000/F62</f>
        <v>-0.08895775251105013</v>
      </c>
      <c r="G108" s="163">
        <f>AVERAGE(C108:E108)</f>
        <v>-0.048558015566225445</v>
      </c>
      <c r="H108" s="163">
        <f>STDEV(C108:E108)</f>
        <v>0.09765481387872313</v>
      </c>
      <c r="I108" s="163">
        <f>(B108*B4+C108*C4+D108*D4+E108*E4+F108*F4)/SUM(B4:F4)</f>
        <v>-0.03985938639343515</v>
      </c>
    </row>
    <row r="109" spans="1:9" ht="12.75">
      <c r="A109" s="163" t="s">
        <v>165</v>
      </c>
      <c r="B109" s="163">
        <f>B69*10000/B62</f>
        <v>-0.056514079810146056</v>
      </c>
      <c r="C109" s="163">
        <f>C69*10000/C62</f>
        <v>-0.09581556823551224</v>
      </c>
      <c r="D109" s="163">
        <f>D69*10000/D62</f>
        <v>-0.13731400061314758</v>
      </c>
      <c r="E109" s="163">
        <f>E69*10000/E62</f>
        <v>-0.08751108902125543</v>
      </c>
      <c r="F109" s="163">
        <f>F69*10000/F62</f>
        <v>0.09632084093131424</v>
      </c>
      <c r="G109" s="163">
        <f>AVERAGE(C109:E109)</f>
        <v>-0.10688021928997175</v>
      </c>
      <c r="H109" s="163">
        <f>STDEV(C109:E109)</f>
        <v>0.026681498795516883</v>
      </c>
      <c r="I109" s="163">
        <f>(B109*B4+C109*C4+D109*D4+E109*E4+F109*F4)/SUM(B4:F4)</f>
        <v>-0.07245995100051078</v>
      </c>
    </row>
    <row r="110" spans="1:11" ht="12.75">
      <c r="A110" s="163" t="s">
        <v>166</v>
      </c>
      <c r="B110" s="163">
        <f>B70*10000/B62</f>
        <v>-0.27655497415186675</v>
      </c>
      <c r="C110" s="163">
        <f>C70*10000/C62</f>
        <v>-0.007477729854930208</v>
      </c>
      <c r="D110" s="163">
        <f>D70*10000/D62</f>
        <v>0.048506272103625736</v>
      </c>
      <c r="E110" s="163">
        <f>E70*10000/E62</f>
        <v>-0.026880054849771504</v>
      </c>
      <c r="F110" s="163">
        <f>F70*10000/F62</f>
        <v>-0.3147197270602937</v>
      </c>
      <c r="G110" s="163">
        <f>AVERAGE(C110:E110)</f>
        <v>0.004716162466308009</v>
      </c>
      <c r="H110" s="163">
        <f>STDEV(C110:E110)</f>
        <v>0.039144512135644134</v>
      </c>
      <c r="I110" s="163">
        <f>(B110*B4+C110*C4+D110*D4+E110*E4+F110*F4)/SUM(B4:F4)</f>
        <v>-0.07860260516513394</v>
      </c>
      <c r="K110" s="163">
        <f>EXP(AVERAGE(K103:K107))</f>
        <v>0.024154465056391582</v>
      </c>
    </row>
    <row r="111" spans="1:9" ht="12.75">
      <c r="A111" s="163" t="s">
        <v>167</v>
      </c>
      <c r="B111" s="163">
        <f>B71*10000/B62</f>
        <v>-0.0005944540121063335</v>
      </c>
      <c r="C111" s="163">
        <f>C71*10000/C62</f>
        <v>0.016726516277247697</v>
      </c>
      <c r="D111" s="163">
        <f>D71*10000/D62</f>
        <v>0.021618666174945473</v>
      </c>
      <c r="E111" s="163">
        <f>E71*10000/E62</f>
        <v>0.007376854651996712</v>
      </c>
      <c r="F111" s="163">
        <f>F71*10000/F62</f>
        <v>-0.03442281588363374</v>
      </c>
      <c r="G111" s="163">
        <f>AVERAGE(C111:E111)</f>
        <v>0.015240679034729962</v>
      </c>
      <c r="H111" s="163">
        <f>STDEV(C111:E111)</f>
        <v>0.007236234041076787</v>
      </c>
      <c r="I111" s="163">
        <f>(B111*B4+C111*C4+D111*D4+E111*E4+F111*F4)/SUM(B4:F4)</f>
        <v>0.00631896339006127</v>
      </c>
    </row>
    <row r="112" spans="1:9" ht="12.75">
      <c r="A112" s="163" t="s">
        <v>168</v>
      </c>
      <c r="B112" s="163">
        <f>B72*10000/B62</f>
        <v>-0.014086969521439237</v>
      </c>
      <c r="C112" s="163">
        <f>C72*10000/C62</f>
        <v>-0.001538076148901132</v>
      </c>
      <c r="D112" s="163">
        <f>D72*10000/D62</f>
        <v>0.006781248844282352</v>
      </c>
      <c r="E112" s="163">
        <f>E72*10000/E62</f>
        <v>-0.004003017621962542</v>
      </c>
      <c r="F112" s="163">
        <f>F72*10000/F62</f>
        <v>-0.018098699739238236</v>
      </c>
      <c r="G112" s="163">
        <f>AVERAGE(C112:E112)</f>
        <v>0.0004133850244728927</v>
      </c>
      <c r="H112" s="163">
        <f>STDEV(C112:E112)</f>
        <v>0.005650774401542966</v>
      </c>
      <c r="I112" s="163">
        <f>(B112*B4+C112*C4+D112*D4+E112*E4+F112*F4)/SUM(B4:F4)</f>
        <v>-0.004155301381196209</v>
      </c>
    </row>
    <row r="113" spans="1:9" ht="12.75">
      <c r="A113" s="163" t="s">
        <v>169</v>
      </c>
      <c r="B113" s="163">
        <f>B73*10000/B62</f>
        <v>0.029941911079838512</v>
      </c>
      <c r="C113" s="163">
        <f>C73*10000/C62</f>
        <v>0.01650882075555861</v>
      </c>
      <c r="D113" s="163">
        <f>D73*10000/D62</f>
        <v>0.029646098539943044</v>
      </c>
      <c r="E113" s="163">
        <f>E73*10000/E62</f>
        <v>0.029080060479444857</v>
      </c>
      <c r="F113" s="163">
        <f>F73*10000/F62</f>
        <v>0.016432081096906404</v>
      </c>
      <c r="G113" s="163">
        <f>AVERAGE(C113:E113)</f>
        <v>0.025078326591648836</v>
      </c>
      <c r="H113" s="163">
        <f>STDEV(C113:E113)</f>
        <v>0.007426804324712723</v>
      </c>
      <c r="I113" s="163">
        <f>(B113*B4+C113*C4+D113*D4+E113*E4+F113*F4)/SUM(B4:F4)</f>
        <v>0.024625727082242584</v>
      </c>
    </row>
    <row r="114" spans="1:11" ht="12.75">
      <c r="A114" s="163" t="s">
        <v>170</v>
      </c>
      <c r="B114" s="163">
        <f>B74*10000/B62</f>
        <v>-0.19706220424347048</v>
      </c>
      <c r="C114" s="163">
        <f>C74*10000/C62</f>
        <v>-0.17869142268964264</v>
      </c>
      <c r="D114" s="163">
        <f>D74*10000/D62</f>
        <v>-0.1838452086222219</v>
      </c>
      <c r="E114" s="163">
        <f>E74*10000/E62</f>
        <v>-0.17480997423508748</v>
      </c>
      <c r="F114" s="163">
        <f>F74*10000/F62</f>
        <v>-0.14049003639091404</v>
      </c>
      <c r="G114" s="163">
        <f>AVERAGE(C114:E114)</f>
        <v>-0.17911553518231735</v>
      </c>
      <c r="H114" s="163">
        <f>STDEV(C114:E114)</f>
        <v>0.0045325234320899065</v>
      </c>
      <c r="I114" s="163">
        <f>(B114*B4+C114*C4+D114*D4+E114*E4+F114*F4)/SUM(B4:F4)</f>
        <v>-0.17655065046556617</v>
      </c>
      <c r="J114" s="163" t="s">
        <v>188</v>
      </c>
      <c r="K114" s="163">
        <v>285</v>
      </c>
    </row>
    <row r="115" spans="1:11" ht="12.75">
      <c r="A115" s="163" t="s">
        <v>171</v>
      </c>
      <c r="B115" s="163">
        <f>B75*10000/B62</f>
        <v>-0.0024460359016629488</v>
      </c>
      <c r="C115" s="163">
        <f>C75*10000/C62</f>
        <v>-0.0029903645186013204</v>
      </c>
      <c r="D115" s="163">
        <f>D75*10000/D62</f>
        <v>0.0004414590117127198</v>
      </c>
      <c r="E115" s="163">
        <f>E75*10000/E62</f>
        <v>0.0010581856855586289</v>
      </c>
      <c r="F115" s="163">
        <f>F75*10000/F62</f>
        <v>-0.0026554434959533595</v>
      </c>
      <c r="G115" s="163">
        <f>AVERAGE(C115:E115)</f>
        <v>-0.0004969066071099906</v>
      </c>
      <c r="H115" s="163">
        <f>STDEV(C115:E115)</f>
        <v>0.002181304017060045</v>
      </c>
      <c r="I115" s="163">
        <f>(B115*B4+C115*C4+D115*D4+E115*E4+F115*F4)/SUM(B4:F4)</f>
        <v>-0.0010671237927064338</v>
      </c>
      <c r="J115" s="163" t="s">
        <v>189</v>
      </c>
      <c r="K115" s="163">
        <v>0.5536</v>
      </c>
    </row>
    <row r="118" ht="12.75">
      <c r="A118" s="163" t="s">
        <v>154</v>
      </c>
    </row>
    <row r="120" spans="2:9" ht="12.75">
      <c r="B120" s="163" t="s">
        <v>84</v>
      </c>
      <c r="C120" s="163" t="s">
        <v>85</v>
      </c>
      <c r="D120" s="163" t="s">
        <v>86</v>
      </c>
      <c r="E120" s="163" t="s">
        <v>87</v>
      </c>
      <c r="F120" s="163" t="s">
        <v>88</v>
      </c>
      <c r="G120" s="163" t="s">
        <v>156</v>
      </c>
      <c r="H120" s="163" t="s">
        <v>157</v>
      </c>
      <c r="I120" s="163" t="s">
        <v>152</v>
      </c>
    </row>
    <row r="121" spans="1:9" ht="12.75">
      <c r="A121" s="163" t="s">
        <v>172</v>
      </c>
      <c r="B121" s="163">
        <f>B81*10000/B62</f>
        <v>0</v>
      </c>
      <c r="C121" s="163">
        <f>C81*10000/C62</f>
        <v>0</v>
      </c>
      <c r="D121" s="163">
        <f>D81*10000/D62</f>
        <v>0</v>
      </c>
      <c r="E121" s="163">
        <f>E81*10000/E62</f>
        <v>0</v>
      </c>
      <c r="F121" s="163">
        <f>F81*10000/F62</f>
        <v>0</v>
      </c>
      <c r="G121" s="163">
        <f>AVERAGE(C121:E121)</f>
        <v>0</v>
      </c>
      <c r="H121" s="163">
        <f>STDEV(C121:E121)</f>
        <v>0</v>
      </c>
      <c r="I121" s="163">
        <f>(B121*B4+C121*C4+D121*D4+E121*E4+F121*F4)/SUM(B4:F4)</f>
        <v>0</v>
      </c>
    </row>
    <row r="122" spans="1:9" ht="12.75">
      <c r="A122" s="163" t="s">
        <v>173</v>
      </c>
      <c r="B122" s="163">
        <f>B82*10000/B62</f>
        <v>92.30966725680435</v>
      </c>
      <c r="C122" s="163">
        <f>C82*10000/C62</f>
        <v>-2.5537452347657705</v>
      </c>
      <c r="D122" s="163">
        <f>D82*10000/D62</f>
        <v>-21.018643460183007</v>
      </c>
      <c r="E122" s="163">
        <f>E82*10000/E62</f>
        <v>-16.14943188539658</v>
      </c>
      <c r="F122" s="163">
        <f>F82*10000/F62</f>
        <v>-28.569288780826508</v>
      </c>
      <c r="G122" s="163">
        <f>AVERAGE(C122:E122)</f>
        <v>-13.24060686011512</v>
      </c>
      <c r="H122" s="163">
        <f>STDEV(C122:E122)</f>
        <v>9.569956315967797</v>
      </c>
      <c r="I122" s="163">
        <f>(B122*B4+C122*C4+D122*D4+E122*E4+F122*F4)/SUM(B4:F4)</f>
        <v>-0.03072364895463935</v>
      </c>
    </row>
    <row r="123" spans="1:9" ht="12.75">
      <c r="A123" s="163" t="s">
        <v>174</v>
      </c>
      <c r="B123" s="163">
        <f>B83*10000/B62</f>
        <v>-0.07929120858123438</v>
      </c>
      <c r="C123" s="163">
        <f>C83*10000/C62</f>
        <v>-0.4014073375808563</v>
      </c>
      <c r="D123" s="163">
        <f>D83*10000/D62</f>
        <v>1.6337370404362945</v>
      </c>
      <c r="E123" s="163">
        <f>E83*10000/E62</f>
        <v>0.9737334905742817</v>
      </c>
      <c r="F123" s="163">
        <f>F83*10000/F62</f>
        <v>7.131457288447376</v>
      </c>
      <c r="G123" s="163">
        <f>AVERAGE(C123:E123)</f>
        <v>0.7353543978099067</v>
      </c>
      <c r="H123" s="163">
        <f>STDEV(C123:E123)</f>
        <v>1.0383022699311018</v>
      </c>
      <c r="I123" s="163">
        <f>(B123*B4+C123*C4+D123*D4+E123*E4+F123*F4)/SUM(B4:F4)</f>
        <v>1.4716883189814371</v>
      </c>
    </row>
    <row r="124" spans="1:9" ht="12.75">
      <c r="A124" s="163" t="s">
        <v>175</v>
      </c>
      <c r="B124" s="163">
        <f>B84*10000/B62</f>
        <v>-1.2844050816334995</v>
      </c>
      <c r="C124" s="163">
        <f>C84*10000/C62</f>
        <v>-1.362606548001091</v>
      </c>
      <c r="D124" s="163">
        <f>D84*10000/D62</f>
        <v>-1.0962000748488623</v>
      </c>
      <c r="E124" s="163">
        <f>E84*10000/E62</f>
        <v>1.9606907211414615</v>
      </c>
      <c r="F124" s="163">
        <f>F84*10000/F62</f>
        <v>2.5927625006070305</v>
      </c>
      <c r="G124" s="163">
        <f>AVERAGE(C124:E124)</f>
        <v>-0.1660386339028305</v>
      </c>
      <c r="H124" s="163">
        <f>STDEV(C124:E124)</f>
        <v>1.8466121451023993</v>
      </c>
      <c r="I124" s="163">
        <f>(B124*B4+C124*C4+D124*D4+E124*E4+F124*F4)/SUM(B4:F4)</f>
        <v>0.0407421616762048</v>
      </c>
    </row>
    <row r="125" spans="1:9" ht="12.75">
      <c r="A125" s="163" t="s">
        <v>176</v>
      </c>
      <c r="B125" s="163">
        <f>B85*10000/B62</f>
        <v>0.628248167202557</v>
      </c>
      <c r="C125" s="163">
        <f>C85*10000/C62</f>
        <v>0.22843167312197218</v>
      </c>
      <c r="D125" s="163">
        <f>D85*10000/D62</f>
        <v>0.9289183749063887</v>
      </c>
      <c r="E125" s="163">
        <f>E85*10000/E62</f>
        <v>0.5181928090319834</v>
      </c>
      <c r="F125" s="163">
        <f>F85*10000/F62</f>
        <v>-1.4408065892085284</v>
      </c>
      <c r="G125" s="163">
        <f>AVERAGE(C125:E125)</f>
        <v>0.5585142856867814</v>
      </c>
      <c r="H125" s="163">
        <f>STDEV(C125:E125)</f>
        <v>0.3519797877065104</v>
      </c>
      <c r="I125" s="163">
        <f>(B125*B4+C125*C4+D125*D4+E125*E4+F125*F4)/SUM(B4:F4)</f>
        <v>0.3015355902285275</v>
      </c>
    </row>
    <row r="126" spans="1:9" ht="12.75">
      <c r="A126" s="163" t="s">
        <v>177</v>
      </c>
      <c r="B126" s="163">
        <f>B86*10000/B62</f>
        <v>0.6863739160632554</v>
      </c>
      <c r="C126" s="163">
        <f>C86*10000/C62</f>
        <v>-0.5308050302050187</v>
      </c>
      <c r="D126" s="163">
        <f>D86*10000/D62</f>
        <v>-0.3597216557936234</v>
      </c>
      <c r="E126" s="163">
        <f>E86*10000/E62</f>
        <v>0.05532330788488282</v>
      </c>
      <c r="F126" s="163">
        <f>F86*10000/F62</f>
        <v>1.9108284416114423</v>
      </c>
      <c r="G126" s="163">
        <f>AVERAGE(C126:E126)</f>
        <v>-0.2784011260379197</v>
      </c>
      <c r="H126" s="163">
        <f>STDEV(C126:E126)</f>
        <v>0.30140733003332665</v>
      </c>
      <c r="I126" s="163">
        <f>(B126*B4+C126*C4+D126*D4+E126*E4+F126*F4)/SUM(B4:F4)</f>
        <v>0.15340853751294148</v>
      </c>
    </row>
    <row r="127" spans="1:9" ht="12.75">
      <c r="A127" s="163" t="s">
        <v>178</v>
      </c>
      <c r="B127" s="163">
        <f>B87*10000/B62</f>
        <v>0.333201812714644</v>
      </c>
      <c r="C127" s="163">
        <f>C87*10000/C62</f>
        <v>0.05516838618022655</v>
      </c>
      <c r="D127" s="163">
        <f>D87*10000/D62</f>
        <v>0.314902660497021</v>
      </c>
      <c r="E127" s="163">
        <f>E87*10000/E62</f>
        <v>0.031093070634046784</v>
      </c>
      <c r="F127" s="163">
        <f>F87*10000/F62</f>
        <v>0.2731654349425003</v>
      </c>
      <c r="G127" s="163">
        <f>AVERAGE(C127:E127)</f>
        <v>0.1337213724370981</v>
      </c>
      <c r="H127" s="163">
        <f>STDEV(C127:E127)</f>
        <v>0.15736867401726304</v>
      </c>
      <c r="I127" s="163">
        <f>(B127*B4+C127*C4+D127*D4+E127*E4+F127*F4)/SUM(B4:F4)</f>
        <v>0.18115989381558417</v>
      </c>
    </row>
    <row r="128" spans="1:9" ht="12.75">
      <c r="A128" s="163" t="s">
        <v>179</v>
      </c>
      <c r="B128" s="163">
        <f>B88*10000/B62</f>
        <v>-0.010359944286437382</v>
      </c>
      <c r="C128" s="163">
        <f>C88*10000/C62</f>
        <v>-0.01294810671220723</v>
      </c>
      <c r="D128" s="163">
        <f>D88*10000/D62</f>
        <v>0.1206241217101638</v>
      </c>
      <c r="E128" s="163">
        <f>E88*10000/E62</f>
        <v>0.28771756923939956</v>
      </c>
      <c r="F128" s="163">
        <f>F88*10000/F62</f>
        <v>0.21878809457034068</v>
      </c>
      <c r="G128" s="163">
        <f>AVERAGE(C128:E128)</f>
        <v>0.13179786141245206</v>
      </c>
      <c r="H128" s="163">
        <f>STDEV(C128:E128)</f>
        <v>0.15064395612854842</v>
      </c>
      <c r="I128" s="163">
        <f>(B128*B4+C128*C4+D128*D4+E128*E4+F128*F4)/SUM(B4:F4)</f>
        <v>0.12285998383066538</v>
      </c>
    </row>
    <row r="129" spans="1:9" ht="12.75">
      <c r="A129" s="163" t="s">
        <v>180</v>
      </c>
      <c r="B129" s="163">
        <f>B89*10000/B62</f>
        <v>0.024522644647968914</v>
      </c>
      <c r="C129" s="163">
        <f>C89*10000/C62</f>
        <v>0.02986889484044215</v>
      </c>
      <c r="D129" s="163">
        <f>D89*10000/D62</f>
        <v>0.006245793716123763</v>
      </c>
      <c r="E129" s="163">
        <f>E89*10000/E62</f>
        <v>0.007470914265611438</v>
      </c>
      <c r="F129" s="163">
        <f>F89*10000/F62</f>
        <v>-0.05081092564549683</v>
      </c>
      <c r="G129" s="163">
        <f>AVERAGE(C129:E129)</f>
        <v>0.014528534274059117</v>
      </c>
      <c r="H129" s="163">
        <f>STDEV(C129:E129)</f>
        <v>0.013299256626600376</v>
      </c>
      <c r="I129" s="163">
        <f>(B129*B4+C129*C4+D129*D4+E129*E4+F129*F4)/SUM(B4:F4)</f>
        <v>0.007248366885973072</v>
      </c>
    </row>
    <row r="130" spans="1:9" ht="12.75">
      <c r="A130" s="163" t="s">
        <v>181</v>
      </c>
      <c r="B130" s="163">
        <f>B90*10000/B62</f>
        <v>0.035067116081162704</v>
      </c>
      <c r="C130" s="163">
        <f>C90*10000/C62</f>
        <v>-0.08298573136292269</v>
      </c>
      <c r="D130" s="163">
        <f>D90*10000/D62</f>
        <v>-0.016605117909832587</v>
      </c>
      <c r="E130" s="163">
        <f>E90*10000/E62</f>
        <v>-0.05792246409016982</v>
      </c>
      <c r="F130" s="163">
        <f>F90*10000/F62</f>
        <v>0.3170698648874865</v>
      </c>
      <c r="G130" s="163">
        <f>AVERAGE(C130:E130)</f>
        <v>-0.052504437787641696</v>
      </c>
      <c r="H130" s="163">
        <f>STDEV(C130:E130)</f>
        <v>0.033520332894577676</v>
      </c>
      <c r="I130" s="163">
        <f>(B130*B4+C130*C4+D130*D4+E130*E4+F130*F4)/SUM(B4:F4)</f>
        <v>0.009505878320339823</v>
      </c>
    </row>
    <row r="131" spans="1:9" ht="12.75">
      <c r="A131" s="163" t="s">
        <v>182</v>
      </c>
      <c r="B131" s="163">
        <f>B91*10000/B62</f>
        <v>0.010795302673621025</v>
      </c>
      <c r="C131" s="163">
        <f>C91*10000/C62</f>
        <v>0.01224654203493909</v>
      </c>
      <c r="D131" s="163">
        <f>D91*10000/D62</f>
        <v>-0.015609933558897636</v>
      </c>
      <c r="E131" s="163">
        <f>E91*10000/E62</f>
        <v>-0.024384468655480815</v>
      </c>
      <c r="F131" s="163">
        <f>F91*10000/F62</f>
        <v>0.007438451762245468</v>
      </c>
      <c r="G131" s="163">
        <f>AVERAGE(C131:E131)</f>
        <v>-0.009249286726479787</v>
      </c>
      <c r="H131" s="163">
        <f>STDEV(C131:E131)</f>
        <v>0.01912592761529424</v>
      </c>
      <c r="I131" s="163">
        <f>(B131*B4+C131*C4+D131*D4+E131*E4+F131*F4)/SUM(B4:F4)</f>
        <v>-0.004121645501845595</v>
      </c>
    </row>
    <row r="132" spans="1:9" ht="12.75">
      <c r="A132" s="163" t="s">
        <v>183</v>
      </c>
      <c r="B132" s="163">
        <f>B92*10000/B62</f>
        <v>0.015926363525149492</v>
      </c>
      <c r="C132" s="163">
        <f>C92*10000/C62</f>
        <v>-0.013912680034771868</v>
      </c>
      <c r="D132" s="163">
        <f>D92*10000/D62</f>
        <v>0.02159272997655047</v>
      </c>
      <c r="E132" s="163">
        <f>E92*10000/E62</f>
        <v>0.03014161163688328</v>
      </c>
      <c r="F132" s="163">
        <f>F92*10000/F62</f>
        <v>0.009295048389369188</v>
      </c>
      <c r="G132" s="163">
        <f>AVERAGE(C132:E132)</f>
        <v>0.012607220526220627</v>
      </c>
      <c r="H132" s="163">
        <f>STDEV(C132:E132)</f>
        <v>0.023361286110449724</v>
      </c>
      <c r="I132" s="163">
        <f>(B132*B4+C132*C4+D132*D4+E132*E4+F132*F4)/SUM(B4:F4)</f>
        <v>0.012642330725042783</v>
      </c>
    </row>
    <row r="133" spans="1:9" ht="12.75">
      <c r="A133" s="163" t="s">
        <v>184</v>
      </c>
      <c r="B133" s="163">
        <f>B93*10000/B62</f>
        <v>0.05023241218053506</v>
      </c>
      <c r="C133" s="163">
        <f>C93*10000/C62</f>
        <v>0.04984888067236158</v>
      </c>
      <c r="D133" s="163">
        <f>D93*10000/D62</f>
        <v>0.047153667531733015</v>
      </c>
      <c r="E133" s="163">
        <f>E93*10000/E62</f>
        <v>0.042204923003840746</v>
      </c>
      <c r="F133" s="163">
        <f>F93*10000/F62</f>
        <v>0.018726744401569483</v>
      </c>
      <c r="G133" s="163">
        <f>AVERAGE(C133:E133)</f>
        <v>0.04640249040264511</v>
      </c>
      <c r="H133" s="163">
        <f>STDEV(C133:E133)</f>
        <v>0.0038769475775387984</v>
      </c>
      <c r="I133" s="163">
        <f>(B133*B4+C133*C4+D133*D4+E133*E4+F133*F4)/SUM(B4:F4)</f>
        <v>0.043260082955940984</v>
      </c>
    </row>
    <row r="134" spans="1:9" ht="12.75">
      <c r="A134" s="163" t="s">
        <v>185</v>
      </c>
      <c r="B134" s="163">
        <f>B94*10000/B62</f>
        <v>0.0057220728709978875</v>
      </c>
      <c r="C134" s="163">
        <f>C94*10000/C62</f>
        <v>0.010802890522702849</v>
      </c>
      <c r="D134" s="163">
        <f>D94*10000/D62</f>
        <v>0.01720795176314494</v>
      </c>
      <c r="E134" s="163">
        <f>E94*10000/E62</f>
        <v>0.015076186826033297</v>
      </c>
      <c r="F134" s="163">
        <f>F94*10000/F62</f>
        <v>-0.007844879869853216</v>
      </c>
      <c r="G134" s="163">
        <f>AVERAGE(C134:E134)</f>
        <v>0.014362343037293696</v>
      </c>
      <c r="H134" s="163">
        <f>STDEV(C134:E134)</f>
        <v>0.003261653275486974</v>
      </c>
      <c r="I134" s="163">
        <f>(B134*B4+C134*C4+D134*D4+E134*E4+F134*F4)/SUM(B4:F4)</f>
        <v>0.01014728365787798</v>
      </c>
    </row>
    <row r="135" spans="1:9" ht="12.75">
      <c r="A135" s="163" t="s">
        <v>186</v>
      </c>
      <c r="B135" s="163">
        <f>B95*10000/B62</f>
        <v>-0.003906892870587916</v>
      </c>
      <c r="C135" s="163">
        <f>C95*10000/C62</f>
        <v>4.5821273269486264E-05</v>
      </c>
      <c r="D135" s="163">
        <f>D95*10000/D62</f>
        <v>-0.002448696971313504</v>
      </c>
      <c r="E135" s="163">
        <f>E95*10000/E62</f>
        <v>-0.0014691509518075382</v>
      </c>
      <c r="F135" s="163">
        <f>F95*10000/F62</f>
        <v>0.005023374849389722</v>
      </c>
      <c r="G135" s="163">
        <f>AVERAGE(C135:E135)</f>
        <v>-0.0012906755499505187</v>
      </c>
      <c r="H135" s="163">
        <f>STDEV(C135:E135)</f>
        <v>0.0012567996737509</v>
      </c>
      <c r="I135" s="163">
        <f>(B135*B4+C135*C4+D135*D4+E135*E4+F135*F4)/SUM(B4:F4)</f>
        <v>-0.0008254018088932304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2003-12-11T14:48:19Z</cp:lastPrinted>
  <dcterms:created xsi:type="dcterms:W3CDTF">1999-06-17T15:15:05Z</dcterms:created>
  <dcterms:modified xsi:type="dcterms:W3CDTF">2005-10-05T15:08:32Z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