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148_pos1ap2" sheetId="2" r:id="rId2"/>
    <sheet name="HCMQAP148_pos2ap2" sheetId="3" r:id="rId3"/>
    <sheet name="HCMQAP148_pos3ap2" sheetId="4" r:id="rId4"/>
    <sheet name="HCMQAP148_pos4ap2" sheetId="5" r:id="rId5"/>
    <sheet name="HCMQAP148_pos5ap2" sheetId="6" r:id="rId6"/>
    <sheet name="Lmag_hcmqap" sheetId="7" r:id="rId7"/>
    <sheet name="Result_HCMQAP" sheetId="8" r:id="rId8"/>
  </sheets>
  <definedNames>
    <definedName name="_xlnm.Print_Area" localSheetId="1">'HCMQAP148_pos1ap2'!$A$1:$N$28</definedName>
    <definedName name="_xlnm.Print_Area" localSheetId="2">'HCMQAP148_pos2ap2'!$A$1:$N$28</definedName>
    <definedName name="_xlnm.Print_Area" localSheetId="3">'HCMQAP148_pos3ap2'!$A$1:$N$28</definedName>
    <definedName name="_xlnm.Print_Area" localSheetId="4">'HCMQAP148_pos4ap2'!$A$1:$N$28</definedName>
    <definedName name="_xlnm.Print_Area" localSheetId="5">'HCMQAP148_pos5ap2'!$A$1:$N$28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<sst xmlns="http://schemas.openxmlformats.org/spreadsheetml/2006/main" count="508" uniqueCount="191">
  <si>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</si>
  <si>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</si>
  <si>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</si>
  <si>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</si>
  <si>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</si>
  <si>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</si>
  <si>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</si>
  <si>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</si>
  <si>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</si>
  <si>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</si>
  <si>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</si>
  <si>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</si>
  <si>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</si>
  <si>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</si>
  <si>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</si>
  <si>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hcmqap148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</si>
  <si>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</si>
  <si>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</si>
  <si>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</si>
  <si>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</si>
  <si>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</si>
  <si>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</si>
  <si>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</si>
  <si>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</si>
  <si>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</si>
  <si>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</si>
  <si>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</si>
  <si>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</si>
  <si>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</si>
  <si>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</si>
  <si>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</si>
  <si>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</si>
  <si>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</si>
  <si>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</si>
  <si>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</si>
  <si>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</si>
  <si>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</si>
  <si>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</si>
  <si>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</si>
  <si>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</si>
  <si>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</si>
  <si>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</si>
  <si>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</si>
  <si>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</si>
  <si>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</si>
  <si>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</si>
  <si>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</si>
  <si>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</si>
  <si>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</si>
  <si>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</si>
  <si>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</si>
  <si>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</si>
  <si>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</si>
  <si>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</si>
  <si>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</si>
  <si>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</si>
  <si>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</si>
  <si>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</si>
  <si>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</si>
  <si>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</si>
  <si>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</si>
  <si>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</si>
  <si>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</si>
  <si>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</si>
  <si>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</si>
  <si>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</si>
  <si>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</si>
  <si>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</si>
  <si>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HCMQAP148_pos1ap2</t>
  </si>
  <si>
    <t>±12.5</t>
  </si>
  <si>
    <t>THCMQAP148_pos1ap2.xls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</si>
  <si>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-3.748 mT)</t>
    </r>
  </si>
  <si>
    <t>HCMQAP148_pos2ap2</t>
  </si>
  <si>
    <t>THCMQAP148_pos2ap2.xls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</si>
  <si>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-3.747 mT)</t>
    </r>
  </si>
  <si>
    <t>HCMQAP148_pos3ap2</t>
  </si>
  <si>
    <t>THCMQAP148_pos3ap2.xls</t>
  </si>
  <si>
    <t>HCMQAP148_pos4ap2</t>
  </si>
  <si>
    <t>THCMQAP148_pos4ap2.xls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</si>
  <si>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-2.079 mT)</t>
    </r>
  </si>
  <si>
    <t>HCMQAP148_pos5ap2</t>
  </si>
  <si>
    <t>THCMQAP148_pos5ap2.xls</t>
  </si>
  <si>
    <t>Sommaire : Valeurs intégrales calculées avec les fichiers: HCMQAP148_pos1ap2+HCMQAP148_pos2ap2+HCMQAP148_pos3ap2+HCMQAP148_pos4ap2+HCMQAP148_pos5ap2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</si>
  <si>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</si>
  <si>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</si>
  <si>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</si>
  <si>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</si>
  <si>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</si>
  <si>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</si>
  <si>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</si>
  <si>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</si>
  <si>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</si>
  <si>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</si>
  <si>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</si>
  <si>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</si>
  <si>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</si>
  <si>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</si>
  <si>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</si>
  <si>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</si>
  <si>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</si>
  <si>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</si>
  <si>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</si>
  <si>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</si>
  <si>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</si>
  <si>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</si>
  <si>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</si>
  <si>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</si>
  <si>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</si>
  <si>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</si>
  <si>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</si>
  <si>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</si>
  <si>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</si>
  <si>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</si>
  <si>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</si>
  <si>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</si>
  <si>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</si>
  <si>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</si>
  <si>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</si>
  <si>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</si>
  <si>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</si>
  <si>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</si>
  <si>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</si>
  <si>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</si>
  <si>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</si>
  <si>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</si>
  <si>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</si>
  <si>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=-3.747</t>
    </r>
  </si>
  <si>
    <t>Gradient (T/m)</t>
  </si>
  <si>
    <t xml:space="preserve"> Fri 12/12/2003       06:55:43</t>
  </si>
  <si>
    <t>SIEGMUND</t>
  </si>
  <si>
    <t>HCMQAP148</t>
  </si>
  <si>
    <t>Aperture2</t>
  </si>
  <si>
    <t>Position</t>
  </si>
  <si>
    <t>Integrales</t>
  </si>
  <si>
    <t>Cn (T)</t>
  </si>
  <si>
    <t>Angle (Horiz,Cn)</t>
  </si>
  <si>
    <t>b1</t>
  </si>
  <si>
    <t>b2</t>
  </si>
  <si>
    <t>a1</t>
  </si>
  <si>
    <t>a2</t>
  </si>
  <si>
    <t>a6!</t>
  </si>
  <si>
    <t>Temp taupe (deg)</t>
  </si>
  <si>
    <t>Niv init (mrad)</t>
  </si>
  <si>
    <t>Dx moy (mm)</t>
  </si>
  <si>
    <t>Dy moy (mm)</t>
  </si>
  <si>
    <t>C2 centre (T)</t>
  </si>
  <si>
    <t>-0.003743*</t>
  </si>
  <si>
    <t>Long. Mag. (m)</t>
  </si>
  <si>
    <t>* = Integral error  ! = Central error           Conclusion : CONTACT CEA           Duration : 31mn</t>
  </si>
  <si>
    <t>Number of measurement</t>
  </si>
  <si>
    <t>Mean real current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</si>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</sst>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48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9144542"/>
        <c:axId val="60974287"/>
      </c:lineChart>
      <c:catAx>
        <c:axId val="291445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0974287"/>
        <c:crosses val="autoZero"/>
        <c:auto val="1"/>
        <c:lblOffset val="100"/>
        <c:noMultiLvlLbl val="0"/>
      </c:catAx>
      <c:valAx>
        <c:axId val="6097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914454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37967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2832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37967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2832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37967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2832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37967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2832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37967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2832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3.335166188E-05</v>
      </c>
      <c r="L2" s="55">
        <v>1.4138046084464152E-07</v>
      </c>
      <c r="M2" s="55">
        <v>9.1629205E-05</v>
      </c>
      <c r="N2" s="56">
        <v>1.0335630304724624E-07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-3.289749812E-05</v>
      </c>
      <c r="L3" s="55">
        <v>1.0713633581169424E-07</v>
      </c>
      <c r="M3" s="55">
        <v>1.5042895000000001E-05</v>
      </c>
      <c r="N3" s="56">
        <v>1.974015151410672E-07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-0.002252113376447797</v>
      </c>
      <c r="L4" s="55">
        <v>1.0616608661130943E-05</v>
      </c>
      <c r="M4" s="55">
        <v>6.147307514109439E-08</v>
      </c>
      <c r="N4" s="56">
        <v>-2.357015</v>
      </c>
    </row>
    <row r="5" spans="1:14" ht="15" customHeight="1" thickBot="1">
      <c r="A5" t="s">
        <v>18</v>
      </c>
      <c r="B5" s="59">
        <v>37967.26715277778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2832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2.7886836</v>
      </c>
      <c r="E8" s="78">
        <v>0.011459269581371447</v>
      </c>
      <c r="F8" s="78">
        <v>2.7896345</v>
      </c>
      <c r="G8" s="78">
        <v>0.005874232664653056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0.1811649279</v>
      </c>
      <c r="E9" s="80">
        <v>0.021822921749766258</v>
      </c>
      <c r="F9" s="80">
        <v>0.33110068</v>
      </c>
      <c r="G9" s="80">
        <v>0.009371351479727633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-0.5173227</v>
      </c>
      <c r="E10" s="80">
        <v>0.010824988674957793</v>
      </c>
      <c r="F10" s="80">
        <v>0.5786484699999999</v>
      </c>
      <c r="G10" s="80">
        <v>0.009574555748945024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4.5587652</v>
      </c>
      <c r="E11" s="78">
        <v>0.004304385027232718</v>
      </c>
      <c r="F11" s="78">
        <v>0.45177094999999995</v>
      </c>
      <c r="G11" s="78">
        <v>0.005781188052641731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0.110775084</v>
      </c>
      <c r="E12" s="80">
        <v>0.00658039299703495</v>
      </c>
      <c r="F12" s="80">
        <v>0.11302304299999999</v>
      </c>
      <c r="G12" s="80">
        <v>0.007780774880999323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17.166138</v>
      </c>
      <c r="D13" s="83">
        <v>0.11419785619999998</v>
      </c>
      <c r="E13" s="80">
        <v>0.004785238441650946</v>
      </c>
      <c r="F13" s="80">
        <v>0.191625952</v>
      </c>
      <c r="G13" s="80">
        <v>0.00629332278189789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-0.10136635000000001</v>
      </c>
      <c r="E14" s="80">
        <v>0.0023049409852466843</v>
      </c>
      <c r="F14" s="80">
        <v>0.006419599000000001</v>
      </c>
      <c r="G14" s="80">
        <v>0.00511138181688905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-0.26122758</v>
      </c>
      <c r="E15" s="78">
        <v>0.0021436019305371506</v>
      </c>
      <c r="F15" s="78">
        <v>0.106130525</v>
      </c>
      <c r="G15" s="78">
        <v>0.003358743615574199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0.004973771</v>
      </c>
      <c r="E16" s="80">
        <v>0.003323315371716023</v>
      </c>
      <c r="F16" s="80">
        <v>-0.022298329999999998</v>
      </c>
      <c r="G16" s="80">
        <v>0.002127343692171066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0.375</v>
      </c>
      <c r="D17" s="83">
        <v>-0.007546232</v>
      </c>
      <c r="E17" s="80">
        <v>0.0034866314877982194</v>
      </c>
      <c r="F17" s="80">
        <v>0.049797702</v>
      </c>
      <c r="G17" s="80">
        <v>0.0013126484952096268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3.559999942779541</v>
      </c>
      <c r="D18" s="83">
        <v>0.028568132000000003</v>
      </c>
      <c r="E18" s="80">
        <v>0.0015371710763106355</v>
      </c>
      <c r="F18" s="80">
        <v>0.058129152</v>
      </c>
      <c r="G18" s="80">
        <v>0.002811277934524662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0.32499998807907104</v>
      </c>
      <c r="D19" s="86">
        <v>-0.20196136999999997</v>
      </c>
      <c r="E19" s="80">
        <v>0.0011592463843407908</v>
      </c>
      <c r="F19" s="80">
        <v>0.020289309</v>
      </c>
      <c r="G19" s="80">
        <v>0.0006250221985609465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0.2549936</v>
      </c>
      <c r="D20" s="88">
        <v>-0.00143536283</v>
      </c>
      <c r="E20" s="89">
        <v>0.0005168149141301094</v>
      </c>
      <c r="F20" s="89">
        <v>0.0004397784999999999</v>
      </c>
      <c r="G20" s="89">
        <v>0.0015208674645446265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0.690448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-0.135047125818455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-2.2521384</v>
      </c>
      <c r="I25" s="101" t="s">
        <v>49</v>
      </c>
      <c r="J25" s="102"/>
      <c r="K25" s="101"/>
      <c r="L25" s="104">
        <v>4.5810956265935925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3.944466613434472</v>
      </c>
      <c r="I26" s="106" t="s">
        <v>53</v>
      </c>
      <c r="J26" s="107"/>
      <c r="K26" s="106"/>
      <c r="L26" s="109">
        <v>0.2819637155547359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HCMQAP148_pos1ap2res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6.0790811E-05</v>
      </c>
      <c r="L2" s="55">
        <v>1.6485128899793966E-07</v>
      </c>
      <c r="M2" s="55">
        <v>0.00010375239799999999</v>
      </c>
      <c r="N2" s="56">
        <v>3.0857040152604853E-07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-3.0312184999999996E-05</v>
      </c>
      <c r="L3" s="55">
        <v>1.1233652095446038E-07</v>
      </c>
      <c r="M3" s="55">
        <v>1.3756582E-05</v>
      </c>
      <c r="N3" s="56">
        <v>6.807687107915411E-08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-0.0037476284853920597</v>
      </c>
      <c r="L4" s="55">
        <v>-8.128211937645769E-06</v>
      </c>
      <c r="M4" s="55">
        <v>7.175139342691564E-08</v>
      </c>
      <c r="N4" s="56">
        <v>1.0844457</v>
      </c>
    </row>
    <row r="5" spans="1:14" ht="15" customHeight="1" thickBot="1">
      <c r="A5" t="s">
        <v>18</v>
      </c>
      <c r="B5" s="59">
        <v>37967.27173611111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2832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2.3458481</v>
      </c>
      <c r="E8" s="78">
        <v>0.010788175380510698</v>
      </c>
      <c r="F8" s="78">
        <v>0.178348448</v>
      </c>
      <c r="G8" s="78">
        <v>0.008602069504149547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-0.17460950000000003</v>
      </c>
      <c r="E9" s="80">
        <v>0.016596617398403773</v>
      </c>
      <c r="F9" s="80">
        <v>-1.09486027</v>
      </c>
      <c r="G9" s="80">
        <v>0.008389981673796789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-0.29800536</v>
      </c>
      <c r="E10" s="80">
        <v>0.009313723964685784</v>
      </c>
      <c r="F10" s="80">
        <v>-0.12560798499999998</v>
      </c>
      <c r="G10" s="80">
        <v>0.007839918052913735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3.9882778</v>
      </c>
      <c r="E11" s="78">
        <v>0.006338722344440901</v>
      </c>
      <c r="F11" s="78">
        <v>0.24955543000000002</v>
      </c>
      <c r="G11" s="78">
        <v>0.007247507192724663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0.22964959000000001</v>
      </c>
      <c r="E12" s="80">
        <v>0.0026857926285185235</v>
      </c>
      <c r="F12" s="80">
        <v>0.14033787</v>
      </c>
      <c r="G12" s="80">
        <v>0.0032560618666729792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17.337037</v>
      </c>
      <c r="D13" s="83">
        <v>-0.10852723900000001</v>
      </c>
      <c r="E13" s="80">
        <v>0.0018156390347456057</v>
      </c>
      <c r="F13" s="80">
        <v>-0.025393109999999997</v>
      </c>
      <c r="G13" s="80">
        <v>0.003117455504959124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-0.0085715836</v>
      </c>
      <c r="E14" s="80">
        <v>0.0010419887903984077</v>
      </c>
      <c r="F14" s="80">
        <v>-0.07723552600000001</v>
      </c>
      <c r="G14" s="80">
        <v>0.0038174816136510594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-0.0016286910000000003</v>
      </c>
      <c r="E15" s="78">
        <v>0.0012343519675821796</v>
      </c>
      <c r="F15" s="78">
        <v>0.096488541</v>
      </c>
      <c r="G15" s="78">
        <v>0.0035700677785672754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0.0071707162599999996</v>
      </c>
      <c r="E16" s="80">
        <v>0.0022141035969486644</v>
      </c>
      <c r="F16" s="80">
        <v>-0.00597136098</v>
      </c>
      <c r="G16" s="80">
        <v>0.0030629371192982635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-0.4269999861717224</v>
      </c>
      <c r="D17" s="83">
        <v>-0.002468707</v>
      </c>
      <c r="E17" s="80">
        <v>0.0009069507559873371</v>
      </c>
      <c r="F17" s="80">
        <v>0.035737135</v>
      </c>
      <c r="G17" s="80">
        <v>0.0005122332355672613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22.88800048828125</v>
      </c>
      <c r="D18" s="83">
        <v>0.024605971999999997</v>
      </c>
      <c r="E18" s="80">
        <v>0.0013306407045578033</v>
      </c>
      <c r="F18" s="80">
        <v>0.037569928</v>
      </c>
      <c r="G18" s="80">
        <v>0.0005468973256064371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-0.4819999933242798</v>
      </c>
      <c r="D19" s="86">
        <v>-0.17844997</v>
      </c>
      <c r="E19" s="80">
        <v>0.0012408218891540065</v>
      </c>
      <c r="F19" s="80">
        <v>0.025095375000000003</v>
      </c>
      <c r="G19" s="80">
        <v>0.0007618067540327103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0.2747315</v>
      </c>
      <c r="D20" s="88">
        <v>-0.00217896958</v>
      </c>
      <c r="E20" s="89">
        <v>0.000558003708580019</v>
      </c>
      <c r="F20" s="89">
        <v>-0.001950532857</v>
      </c>
      <c r="G20" s="89">
        <v>0.00038752933220276807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0.4712366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0.06213421420363574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-3.7476372999999996</v>
      </c>
      <c r="I25" s="101" t="s">
        <v>49</v>
      </c>
      <c r="J25" s="102"/>
      <c r="K25" s="101"/>
      <c r="L25" s="104">
        <v>3.996077792362822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2.3526180049420726</v>
      </c>
      <c r="I26" s="106" t="s">
        <v>53</v>
      </c>
      <c r="J26" s="107"/>
      <c r="K26" s="106"/>
      <c r="L26" s="109">
        <v>0.09650228587283392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HCMQAP148_pos2ap2res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5.6301391E-05</v>
      </c>
      <c r="L2" s="55">
        <v>6.189389529411259E-08</v>
      </c>
      <c r="M2" s="55">
        <v>8.332581300000001E-05</v>
      </c>
      <c r="N2" s="56">
        <v>1.3466905481513311E-07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-2.9226312999999997E-05</v>
      </c>
      <c r="L3" s="55">
        <v>1.6799394877768118E-07</v>
      </c>
      <c r="M3" s="55">
        <v>1.2026221000000001E-05</v>
      </c>
      <c r="N3" s="56">
        <v>1.525001697506761E-07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-0.0037467224499463945</v>
      </c>
      <c r="L4" s="55">
        <v>-3.445811736729604E-05</v>
      </c>
      <c r="M4" s="55">
        <v>8.349874330027042E-08</v>
      </c>
      <c r="N4" s="56">
        <v>4.5983051</v>
      </c>
    </row>
    <row r="5" spans="1:14" ht="15" customHeight="1" thickBot="1">
      <c r="A5" t="s">
        <v>18</v>
      </c>
      <c r="B5" s="59">
        <v>37967.27622685185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2832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1.06097793</v>
      </c>
      <c r="E8" s="78">
        <v>0.01230373516195896</v>
      </c>
      <c r="F8" s="78">
        <v>0.2134834043</v>
      </c>
      <c r="G8" s="78">
        <v>0.006556116676211272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-0.0374316774</v>
      </c>
      <c r="E9" s="80">
        <v>0.012632819330480403</v>
      </c>
      <c r="F9" s="80">
        <v>-2.2741807</v>
      </c>
      <c r="G9" s="80">
        <v>0.008550266373578893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0.5446803499999999</v>
      </c>
      <c r="E10" s="80">
        <v>0.004763118211739474</v>
      </c>
      <c r="F10" s="80">
        <v>0.057152603569999995</v>
      </c>
      <c r="G10" s="80">
        <v>0.005109390078181556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3.6872196</v>
      </c>
      <c r="E11" s="78">
        <v>0.002254404697466036</v>
      </c>
      <c r="F11" s="78">
        <v>0.91264512</v>
      </c>
      <c r="G11" s="78">
        <v>0.004841156829182277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0.36692203</v>
      </c>
      <c r="E12" s="80">
        <v>0.003405523550734335</v>
      </c>
      <c r="F12" s="80">
        <v>-0.138358614</v>
      </c>
      <c r="G12" s="80">
        <v>0.004759438051867198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17.507935</v>
      </c>
      <c r="D13" s="83">
        <v>0.028614590000000006</v>
      </c>
      <c r="E13" s="80">
        <v>0.0012041902392893433</v>
      </c>
      <c r="F13" s="80">
        <v>-0.0675735</v>
      </c>
      <c r="G13" s="80">
        <v>0.0034270654777814186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0.038786386</v>
      </c>
      <c r="E14" s="80">
        <v>0.0012888042662420483</v>
      </c>
      <c r="F14" s="80">
        <v>0.06358339000000002</v>
      </c>
      <c r="G14" s="80">
        <v>0.0026257137249914415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-0.0063583699999999995</v>
      </c>
      <c r="E15" s="78">
        <v>0.0012555216531665203</v>
      </c>
      <c r="F15" s="78">
        <v>0.11553409</v>
      </c>
      <c r="G15" s="78">
        <v>0.0011413004194323574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0.02264674613</v>
      </c>
      <c r="E16" s="80">
        <v>0.002432131087456093</v>
      </c>
      <c r="F16" s="80">
        <v>-0.017524143</v>
      </c>
      <c r="G16" s="80">
        <v>0.0009923436755963399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0.3709999918937683</v>
      </c>
      <c r="D17" s="83">
        <v>-0.0007216749999999991</v>
      </c>
      <c r="E17" s="80">
        <v>0.0010247446621524797</v>
      </c>
      <c r="F17" s="80">
        <v>0.036722666</v>
      </c>
      <c r="G17" s="80">
        <v>0.0012960528023750009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-0.5090000033378601</v>
      </c>
      <c r="D18" s="83">
        <v>0.0139098219</v>
      </c>
      <c r="E18" s="80">
        <v>0.001243915850228528</v>
      </c>
      <c r="F18" s="80">
        <v>0.02929909</v>
      </c>
      <c r="G18" s="80">
        <v>0.0008038865070581061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0.3009999990463257</v>
      </c>
      <c r="D19" s="86">
        <v>-0.1725129</v>
      </c>
      <c r="E19" s="80">
        <v>0.0010613442419884422</v>
      </c>
      <c r="F19" s="80">
        <v>0.024207543</v>
      </c>
      <c r="G19" s="80">
        <v>0.0012187638857120925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0.25195130000000004</v>
      </c>
      <c r="D20" s="88">
        <v>-0.0031925404999999995</v>
      </c>
      <c r="E20" s="89">
        <v>0.00045558045258648025</v>
      </c>
      <c r="F20" s="89">
        <v>0.0027140692099999995</v>
      </c>
      <c r="G20" s="89">
        <v>0.000489043318905278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0.3803894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0.26346369768174716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-3.7468809</v>
      </c>
      <c r="I25" s="101" t="s">
        <v>49</v>
      </c>
      <c r="J25" s="102"/>
      <c r="K25" s="101"/>
      <c r="L25" s="104">
        <v>3.798487790382375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1.0822427324120047</v>
      </c>
      <c r="I26" s="106" t="s">
        <v>53</v>
      </c>
      <c r="J26" s="107"/>
      <c r="K26" s="106"/>
      <c r="L26" s="109">
        <v>0.11570892282440884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HCMQAP148_pos3ap2res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5.173775199999999E-05</v>
      </c>
      <c r="L2" s="55">
        <v>9.354230218095383E-08</v>
      </c>
      <c r="M2" s="55">
        <v>0.00011660539000000001</v>
      </c>
      <c r="N2" s="56">
        <v>2.3095810961467902E-07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-2.9831250000000003E-05</v>
      </c>
      <c r="L3" s="55">
        <v>1.0751247964665627E-07</v>
      </c>
      <c r="M3" s="55">
        <v>1.066721E-05</v>
      </c>
      <c r="N3" s="56">
        <v>2.2416494016683364E-07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-0.003746874687554556</v>
      </c>
      <c r="L4" s="55">
        <v>-4.973820368677136E-05</v>
      </c>
      <c r="M4" s="55">
        <v>2.1268744768363318E-08</v>
      </c>
      <c r="N4" s="56">
        <v>6.636902300000001</v>
      </c>
    </row>
    <row r="5" spans="1:14" ht="15" customHeight="1" thickBot="1">
      <c r="A5" t="s">
        <v>18</v>
      </c>
      <c r="B5" s="59">
        <v>37967.280694444446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2832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1.6022764999999999</v>
      </c>
      <c r="E8" s="78">
        <v>0.010216131670049618</v>
      </c>
      <c r="F8" s="78">
        <v>1.6062691999999998</v>
      </c>
      <c r="G8" s="78">
        <v>0.016476426119174218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0.1083465651</v>
      </c>
      <c r="E9" s="80">
        <v>0.007489869591323149</v>
      </c>
      <c r="F9" s="80">
        <v>-1.5698626999999998</v>
      </c>
      <c r="G9" s="80">
        <v>0.013443113138721145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0.01978279</v>
      </c>
      <c r="E10" s="80">
        <v>0.009067896782683407</v>
      </c>
      <c r="F10" s="80">
        <v>0.46301474000000004</v>
      </c>
      <c r="G10" s="80">
        <v>0.004096580278768235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4.2243242</v>
      </c>
      <c r="E11" s="78">
        <v>0.006565472652983434</v>
      </c>
      <c r="F11" s="78">
        <v>0.67282273</v>
      </c>
      <c r="G11" s="78">
        <v>0.004395698332748386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0.15688776</v>
      </c>
      <c r="E12" s="80">
        <v>0.0016076471653943135</v>
      </c>
      <c r="F12" s="80">
        <v>-0.013998616799999999</v>
      </c>
      <c r="G12" s="80">
        <v>0.0035780741358526053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17.669678</v>
      </c>
      <c r="D13" s="83">
        <v>-0.017357390000000004</v>
      </c>
      <c r="E13" s="80">
        <v>0.0025560940247573096</v>
      </c>
      <c r="F13" s="80">
        <v>-0.006101839999999995</v>
      </c>
      <c r="G13" s="80">
        <v>0.002093157019289289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-0.05433909400000001</v>
      </c>
      <c r="E14" s="80">
        <v>0.0027120594226754894</v>
      </c>
      <c r="F14" s="80">
        <v>0.03951059707</v>
      </c>
      <c r="G14" s="80">
        <v>0.002941458837845376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0.021216408</v>
      </c>
      <c r="E15" s="78">
        <v>0.0018636207448743801</v>
      </c>
      <c r="F15" s="78">
        <v>0.095843638</v>
      </c>
      <c r="G15" s="78">
        <v>0.0015783328646536677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0.017094755228</v>
      </c>
      <c r="E16" s="80">
        <v>0.0011670183564726623</v>
      </c>
      <c r="F16" s="80">
        <v>-0.031571470000000004</v>
      </c>
      <c r="G16" s="80">
        <v>0.001716205648286327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-0.12800000607967377</v>
      </c>
      <c r="D17" s="83">
        <v>-0.005491716000000001</v>
      </c>
      <c r="E17" s="80">
        <v>0.0019027889304607584</v>
      </c>
      <c r="F17" s="80">
        <v>0.035425092000000005</v>
      </c>
      <c r="G17" s="80">
        <v>0.0012237901506246408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29.5</v>
      </c>
      <c r="D18" s="83">
        <v>0.019738397999999997</v>
      </c>
      <c r="E18" s="80">
        <v>0.0014013452717820966</v>
      </c>
      <c r="F18" s="80">
        <v>0.040923061999999996</v>
      </c>
      <c r="G18" s="80">
        <v>0.0009498040584540904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-0.1940000057220459</v>
      </c>
      <c r="D19" s="86">
        <v>-0.18363125</v>
      </c>
      <c r="E19" s="80">
        <v>0.0015541438730063838</v>
      </c>
      <c r="F19" s="80">
        <v>0.024627434999999996</v>
      </c>
      <c r="G19" s="80">
        <v>0.0010191144327454562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0.2276684</v>
      </c>
      <c r="D20" s="88">
        <v>6.244596999999994E-05</v>
      </c>
      <c r="E20" s="89">
        <v>0.0013633484758237408</v>
      </c>
      <c r="F20" s="89">
        <v>-0.00032413240000000006</v>
      </c>
      <c r="G20" s="89">
        <v>0.00029720056990715875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0.5320731000000001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0.3802668120283042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-3.7472048</v>
      </c>
      <c r="I25" s="101" t="s">
        <v>49</v>
      </c>
      <c r="J25" s="102"/>
      <c r="K25" s="101"/>
      <c r="L25" s="104">
        <v>4.277570031304022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2.2687861788456156</v>
      </c>
      <c r="I26" s="106" t="s">
        <v>53</v>
      </c>
      <c r="J26" s="107"/>
      <c r="K26" s="106"/>
      <c r="L26" s="109">
        <v>0.09816383709644559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HCMQAP148_pos4ap2res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3.81501546E-05</v>
      </c>
      <c r="L2" s="55">
        <v>4.760159987726741E-08</v>
      </c>
      <c r="M2" s="55">
        <v>9.4599634E-05</v>
      </c>
      <c r="N2" s="56">
        <v>1.8644376215058987E-07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-3.19538054E-05</v>
      </c>
      <c r="L3" s="55">
        <v>8.668231279175617E-08</v>
      </c>
      <c r="M3" s="55">
        <v>9.706126E-06</v>
      </c>
      <c r="N3" s="56">
        <v>5.329507598255532E-08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-0.0020790107664989343</v>
      </c>
      <c r="L4" s="55">
        <v>-4.315921439513486E-05</v>
      </c>
      <c r="M4" s="55">
        <v>6.800925710246015E-08</v>
      </c>
      <c r="N4" s="56">
        <v>10.378257</v>
      </c>
    </row>
    <row r="5" spans="1:14" ht="15" customHeight="1" thickBot="1">
      <c r="A5" t="s">
        <v>18</v>
      </c>
      <c r="B5" s="59">
        <v>37967.28517361111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2832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-1.8557321999999998</v>
      </c>
      <c r="E8" s="78">
        <v>0.032570217826421985</v>
      </c>
      <c r="F8" s="114">
        <v>9.1162092</v>
      </c>
      <c r="G8" s="78">
        <v>0.018694489640982064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-1.28541831</v>
      </c>
      <c r="E9" s="80">
        <v>0.02456367076943688</v>
      </c>
      <c r="F9" s="80">
        <v>0.08975396999999999</v>
      </c>
      <c r="G9" s="80">
        <v>0.024618547765528336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-0.33176563</v>
      </c>
      <c r="E10" s="80">
        <v>0.009977414932617543</v>
      </c>
      <c r="F10" s="80">
        <v>-0.8790519800000001</v>
      </c>
      <c r="G10" s="80">
        <v>0.014467385763454516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5">
        <v>14.972988</v>
      </c>
      <c r="E11" s="78">
        <v>0.007429335499318809</v>
      </c>
      <c r="F11" s="78">
        <v>1.4660617000000002</v>
      </c>
      <c r="G11" s="78">
        <v>0.005001093096497024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-0.3476475600000001</v>
      </c>
      <c r="E12" s="80">
        <v>0.007953359084964995</v>
      </c>
      <c r="F12" s="80">
        <v>0.44909114</v>
      </c>
      <c r="G12" s="80">
        <v>0.0014658208926818174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17.822266</v>
      </c>
      <c r="D13" s="83">
        <v>-0.10528083000000002</v>
      </c>
      <c r="E13" s="80">
        <v>0.006138174227048123</v>
      </c>
      <c r="F13" s="80">
        <v>-0.114739203</v>
      </c>
      <c r="G13" s="80">
        <v>0.006986066363900868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-0.056244259000000005</v>
      </c>
      <c r="E14" s="80">
        <v>0.005058961563390569</v>
      </c>
      <c r="F14" s="80">
        <v>0.014896022999999998</v>
      </c>
      <c r="G14" s="80">
        <v>0.006329628715554023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-0.29947268</v>
      </c>
      <c r="E15" s="78">
        <v>0.007420943213472049</v>
      </c>
      <c r="F15" s="78">
        <v>0.24908238000000002</v>
      </c>
      <c r="G15" s="78">
        <v>0.004734508087922053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0.0062193579999999995</v>
      </c>
      <c r="E16" s="80">
        <v>0.0053623560896490265</v>
      </c>
      <c r="F16" s="80">
        <v>0.0085956794</v>
      </c>
      <c r="G16" s="80">
        <v>0.0043105586618117295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0.20800000429153442</v>
      </c>
      <c r="D17" s="83">
        <v>-0.033581706</v>
      </c>
      <c r="E17" s="80">
        <v>0.0016507738846898213</v>
      </c>
      <c r="F17" s="80">
        <v>0.013157169</v>
      </c>
      <c r="G17" s="80">
        <v>0.0020361901657075165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2.5429999828338623</v>
      </c>
      <c r="D18" s="83">
        <v>-0.0030277906</v>
      </c>
      <c r="E18" s="80">
        <v>0.0005111336890898894</v>
      </c>
      <c r="F18" s="80">
        <v>0.041901940000000006</v>
      </c>
      <c r="G18" s="80">
        <v>0.0028040493054545044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0.1340000033378601</v>
      </c>
      <c r="D19" s="83">
        <v>-0.14124477</v>
      </c>
      <c r="E19" s="80">
        <v>0.0017762694687464492</v>
      </c>
      <c r="F19" s="80">
        <v>-0.0217809</v>
      </c>
      <c r="G19" s="80">
        <v>0.0011760930103227175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0.2957475</v>
      </c>
      <c r="D20" s="88">
        <v>0.0037561136700000005</v>
      </c>
      <c r="E20" s="89">
        <v>0.0013468376809775903</v>
      </c>
      <c r="F20" s="89">
        <v>0.0078012817900000005</v>
      </c>
      <c r="G20" s="89">
        <v>0.0014336328052205471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0.7796787000000001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0.5946308270652758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-2.0794587000000004</v>
      </c>
      <c r="I25" s="101" t="s">
        <v>49</v>
      </c>
      <c r="J25" s="102"/>
      <c r="K25" s="101"/>
      <c r="L25" s="104">
        <v>15.04459060780156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9.303172156650735</v>
      </c>
      <c r="I26" s="106" t="s">
        <v>53</v>
      </c>
      <c r="J26" s="107"/>
      <c r="K26" s="106"/>
      <c r="L26" s="109">
        <v>0.38952011256525226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HCMQAP148_pos5ap2res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119</v>
      </c>
      <c r="B1" s="130" t="s">
        <v>68</v>
      </c>
      <c r="C1" s="120" t="s">
        <v>72</v>
      </c>
      <c r="D1" s="120" t="s">
        <v>75</v>
      </c>
      <c r="E1" s="120" t="s">
        <v>77</v>
      </c>
      <c r="F1" s="127" t="s">
        <v>80</v>
      </c>
      <c r="G1" s="160" t="s">
        <v>120</v>
      </c>
    </row>
    <row r="2" spans="1:7" ht="13.5" thickBot="1">
      <c r="A2" s="139" t="s">
        <v>89</v>
      </c>
      <c r="B2" s="131">
        <v>-2.2521384</v>
      </c>
      <c r="C2" s="122">
        <v>-3.7476372999999996</v>
      </c>
      <c r="D2" s="122">
        <v>-3.7468809</v>
      </c>
      <c r="E2" s="122">
        <v>-3.7472048</v>
      </c>
      <c r="F2" s="128">
        <v>-2.0794587000000004</v>
      </c>
      <c r="G2" s="161">
        <v>3.1165416750590635</v>
      </c>
    </row>
    <row r="3" spans="1:7" ht="14.25" thickBot="1" thickTop="1">
      <c r="A3" s="147" t="s">
        <v>88</v>
      </c>
      <c r="B3" s="148" t="s">
        <v>83</v>
      </c>
      <c r="C3" s="149" t="s">
        <v>84</v>
      </c>
      <c r="D3" s="149" t="s">
        <v>85</v>
      </c>
      <c r="E3" s="149" t="s">
        <v>86</v>
      </c>
      <c r="F3" s="150" t="s">
        <v>87</v>
      </c>
      <c r="G3" s="156" t="s">
        <v>121</v>
      </c>
    </row>
    <row r="4" spans="1:7" ht="12.75">
      <c r="A4" s="144" t="s">
        <v>90</v>
      </c>
      <c r="B4" s="145">
        <v>2.7886836</v>
      </c>
      <c r="C4" s="146">
        <v>2.3458481</v>
      </c>
      <c r="D4" s="146">
        <v>1.06097793</v>
      </c>
      <c r="E4" s="146">
        <v>1.6022764999999999</v>
      </c>
      <c r="F4" s="151">
        <v>-1.8557321999999998</v>
      </c>
      <c r="G4" s="157">
        <v>1.3608136729630291</v>
      </c>
    </row>
    <row r="5" spans="1:7" ht="12.75">
      <c r="A5" s="139" t="s">
        <v>92</v>
      </c>
      <c r="B5" s="133">
        <v>0.1811649279</v>
      </c>
      <c r="C5" s="117">
        <v>-0.17460950000000003</v>
      </c>
      <c r="D5" s="117">
        <v>-0.0374316774</v>
      </c>
      <c r="E5" s="117">
        <v>0.1083465651</v>
      </c>
      <c r="F5" s="152">
        <v>-1.28541831</v>
      </c>
      <c r="G5" s="158">
        <v>-0.17039360415157173</v>
      </c>
    </row>
    <row r="6" spans="1:7" ht="12.75">
      <c r="A6" s="139" t="s">
        <v>94</v>
      </c>
      <c r="B6" s="133">
        <v>-0.5173227</v>
      </c>
      <c r="C6" s="117">
        <v>-0.29800536</v>
      </c>
      <c r="D6" s="117">
        <v>0.5446803499999999</v>
      </c>
      <c r="E6" s="117">
        <v>0.01978279</v>
      </c>
      <c r="F6" s="152">
        <v>-0.33176563</v>
      </c>
      <c r="G6" s="158">
        <v>-0.05501772743991709</v>
      </c>
    </row>
    <row r="7" spans="1:7" ht="12.75">
      <c r="A7" s="139" t="s">
        <v>96</v>
      </c>
      <c r="B7" s="132">
        <v>4.5587652</v>
      </c>
      <c r="C7" s="116">
        <v>3.9882778</v>
      </c>
      <c r="D7" s="116">
        <v>3.6872196</v>
      </c>
      <c r="E7" s="116">
        <v>4.2243242</v>
      </c>
      <c r="F7" s="153">
        <v>14.972988</v>
      </c>
      <c r="G7" s="158">
        <v>5.521897644901232</v>
      </c>
    </row>
    <row r="8" spans="1:7" ht="12.75">
      <c r="A8" s="139" t="s">
        <v>98</v>
      </c>
      <c r="B8" s="133">
        <v>0.110775084</v>
      </c>
      <c r="C8" s="117">
        <v>0.22964959000000001</v>
      </c>
      <c r="D8" s="117">
        <v>0.36692203</v>
      </c>
      <c r="E8" s="117">
        <v>0.15688776</v>
      </c>
      <c r="F8" s="152">
        <v>-0.3476475600000001</v>
      </c>
      <c r="G8" s="158">
        <v>0.150893267775767</v>
      </c>
    </row>
    <row r="9" spans="1:7" ht="12.75">
      <c r="A9" s="139" t="s">
        <v>100</v>
      </c>
      <c r="B9" s="133">
        <v>0.11419785619999998</v>
      </c>
      <c r="C9" s="117">
        <v>-0.10852723900000001</v>
      </c>
      <c r="D9" s="117">
        <v>0.028614590000000006</v>
      </c>
      <c r="E9" s="117">
        <v>-0.017357390000000004</v>
      </c>
      <c r="F9" s="152">
        <v>-0.10528083000000002</v>
      </c>
      <c r="G9" s="158">
        <v>-0.020951519777377383</v>
      </c>
    </row>
    <row r="10" spans="1:7" ht="12.75">
      <c r="A10" s="139" t="s">
        <v>102</v>
      </c>
      <c r="B10" s="133">
        <v>-0.10136635000000001</v>
      </c>
      <c r="C10" s="117">
        <v>-0.0085715836</v>
      </c>
      <c r="D10" s="117">
        <v>0.038786386</v>
      </c>
      <c r="E10" s="117">
        <v>-0.05433909400000001</v>
      </c>
      <c r="F10" s="152">
        <v>-0.056244259000000005</v>
      </c>
      <c r="G10" s="158">
        <v>-0.027974997727420722</v>
      </c>
    </row>
    <row r="11" spans="1:7" ht="12.75">
      <c r="A11" s="139" t="s">
        <v>104</v>
      </c>
      <c r="B11" s="132">
        <v>-0.26122758</v>
      </c>
      <c r="C11" s="116">
        <v>-0.0016286910000000003</v>
      </c>
      <c r="D11" s="116">
        <v>-0.0063583699999999995</v>
      </c>
      <c r="E11" s="116">
        <v>0.021216408</v>
      </c>
      <c r="F11" s="154">
        <v>-0.29947268</v>
      </c>
      <c r="G11" s="158">
        <v>-0.07458186814312877</v>
      </c>
    </row>
    <row r="12" spans="1:7" ht="12.75">
      <c r="A12" s="139" t="s">
        <v>106</v>
      </c>
      <c r="B12" s="133">
        <v>0.004973771</v>
      </c>
      <c r="C12" s="117">
        <v>0.0071707162599999996</v>
      </c>
      <c r="D12" s="117">
        <v>0.02264674613</v>
      </c>
      <c r="E12" s="117">
        <v>0.017094755228</v>
      </c>
      <c r="F12" s="152">
        <v>0.0062193579999999995</v>
      </c>
      <c r="G12" s="158">
        <v>0.012837337868239547</v>
      </c>
    </row>
    <row r="13" spans="1:7" ht="12.75">
      <c r="A13" s="139" t="s">
        <v>108</v>
      </c>
      <c r="B13" s="133">
        <v>-0.007546232</v>
      </c>
      <c r="C13" s="117">
        <v>-0.002468707</v>
      </c>
      <c r="D13" s="117">
        <v>-0.0007216749999999991</v>
      </c>
      <c r="E13" s="117">
        <v>-0.005491716000000001</v>
      </c>
      <c r="F13" s="152">
        <v>-0.033581706</v>
      </c>
      <c r="G13" s="158">
        <v>-0.007664477584967024</v>
      </c>
    </row>
    <row r="14" spans="1:7" ht="12.75">
      <c r="A14" s="139" t="s">
        <v>110</v>
      </c>
      <c r="B14" s="133">
        <v>0.028568132000000003</v>
      </c>
      <c r="C14" s="117">
        <v>0.024605971999999997</v>
      </c>
      <c r="D14" s="117">
        <v>0.0139098219</v>
      </c>
      <c r="E14" s="117">
        <v>0.019738397999999997</v>
      </c>
      <c r="F14" s="152">
        <v>-0.0030277906</v>
      </c>
      <c r="G14" s="158">
        <v>0.017744433686166784</v>
      </c>
    </row>
    <row r="15" spans="1:7" ht="12.75">
      <c r="A15" s="139" t="s">
        <v>112</v>
      </c>
      <c r="B15" s="134">
        <v>-0.20196136999999997</v>
      </c>
      <c r="C15" s="119">
        <v>-0.17844997</v>
      </c>
      <c r="D15" s="119">
        <v>-0.1725129</v>
      </c>
      <c r="E15" s="119">
        <v>-0.18363125</v>
      </c>
      <c r="F15" s="152">
        <v>-0.14124477</v>
      </c>
      <c r="G15" s="158">
        <v>-0.17670044409471158</v>
      </c>
    </row>
    <row r="16" spans="1:7" ht="12.75">
      <c r="A16" s="139" t="s">
        <v>114</v>
      </c>
      <c r="B16" s="133">
        <v>-0.00143536283</v>
      </c>
      <c r="C16" s="117">
        <v>-0.00217896958</v>
      </c>
      <c r="D16" s="117">
        <v>-0.0031925404999999995</v>
      </c>
      <c r="E16" s="117">
        <v>6.244596999999994E-05</v>
      </c>
      <c r="F16" s="152">
        <v>0.0037561136700000005</v>
      </c>
      <c r="G16" s="158">
        <v>-0.0009834775922367618</v>
      </c>
    </row>
    <row r="17" spans="1:7" ht="12.75">
      <c r="A17" s="139" t="s">
        <v>91</v>
      </c>
      <c r="B17" s="132">
        <v>2.7896345</v>
      </c>
      <c r="C17" s="116">
        <v>0.178348448</v>
      </c>
      <c r="D17" s="116">
        <v>0.2134834043</v>
      </c>
      <c r="E17" s="116">
        <v>1.6062691999999998</v>
      </c>
      <c r="F17" s="153">
        <v>9.1162092</v>
      </c>
      <c r="G17" s="158">
        <v>2.101461033596013</v>
      </c>
    </row>
    <row r="18" spans="1:7" ht="12.75">
      <c r="A18" s="139" t="s">
        <v>93</v>
      </c>
      <c r="B18" s="133">
        <v>0.33110068</v>
      </c>
      <c r="C18" s="117">
        <v>-1.09486027</v>
      </c>
      <c r="D18" s="117">
        <v>-2.2741807</v>
      </c>
      <c r="E18" s="117">
        <v>-1.5698626999999998</v>
      </c>
      <c r="F18" s="152">
        <v>0.08975396999999999</v>
      </c>
      <c r="G18" s="158">
        <v>-1.128500288736087</v>
      </c>
    </row>
    <row r="19" spans="1:7" ht="12.75">
      <c r="A19" s="139" t="s">
        <v>95</v>
      </c>
      <c r="B19" s="133">
        <v>0.5786484699999999</v>
      </c>
      <c r="C19" s="117">
        <v>-0.12560798499999998</v>
      </c>
      <c r="D19" s="117">
        <v>0.057152603569999995</v>
      </c>
      <c r="E19" s="117">
        <v>0.46301474000000004</v>
      </c>
      <c r="F19" s="152">
        <v>-0.8790519800000001</v>
      </c>
      <c r="G19" s="158">
        <v>0.06123716913528529</v>
      </c>
    </row>
    <row r="20" spans="1:7" ht="12.75">
      <c r="A20" s="139" t="s">
        <v>97</v>
      </c>
      <c r="B20" s="132">
        <v>0.45177094999999995</v>
      </c>
      <c r="C20" s="116">
        <v>0.24955543000000002</v>
      </c>
      <c r="D20" s="116">
        <v>0.91264512</v>
      </c>
      <c r="E20" s="116">
        <v>0.67282273</v>
      </c>
      <c r="F20" s="154">
        <v>1.4660617000000002</v>
      </c>
      <c r="G20" s="158">
        <v>0.7026174098353068</v>
      </c>
    </row>
    <row r="21" spans="1:7" ht="12.75">
      <c r="A21" s="139" t="s">
        <v>99</v>
      </c>
      <c r="B21" s="133">
        <v>0.11302304299999999</v>
      </c>
      <c r="C21" s="117">
        <v>0.14033787</v>
      </c>
      <c r="D21" s="117">
        <v>-0.138358614</v>
      </c>
      <c r="E21" s="117">
        <v>-0.013998616799999999</v>
      </c>
      <c r="F21" s="152">
        <v>0.44909114</v>
      </c>
      <c r="G21" s="158">
        <v>0.0734253524649652</v>
      </c>
    </row>
    <row r="22" spans="1:7" ht="12.75">
      <c r="A22" s="139" t="s">
        <v>101</v>
      </c>
      <c r="B22" s="133">
        <v>0.191625952</v>
      </c>
      <c r="C22" s="117">
        <v>-0.025393109999999997</v>
      </c>
      <c r="D22" s="117">
        <v>-0.0675735</v>
      </c>
      <c r="E22" s="117">
        <v>-0.006101839999999995</v>
      </c>
      <c r="F22" s="152">
        <v>-0.114739203</v>
      </c>
      <c r="G22" s="158">
        <v>-0.011445609199649355</v>
      </c>
    </row>
    <row r="23" spans="1:7" ht="12.75">
      <c r="A23" s="139" t="s">
        <v>103</v>
      </c>
      <c r="B23" s="133">
        <v>0.006419599000000001</v>
      </c>
      <c r="C23" s="117">
        <v>-0.07723552600000001</v>
      </c>
      <c r="D23" s="117">
        <v>0.06358339000000002</v>
      </c>
      <c r="E23" s="117">
        <v>0.03951059707</v>
      </c>
      <c r="F23" s="152">
        <v>0.014896022999999998</v>
      </c>
      <c r="G23" s="158">
        <v>0.009135909333832602</v>
      </c>
    </row>
    <row r="24" spans="1:7" ht="12.75">
      <c r="A24" s="139" t="s">
        <v>105</v>
      </c>
      <c r="B24" s="132">
        <v>0.106130525</v>
      </c>
      <c r="C24" s="116">
        <v>0.096488541</v>
      </c>
      <c r="D24" s="116">
        <v>0.11553409</v>
      </c>
      <c r="E24" s="116">
        <v>0.095843638</v>
      </c>
      <c r="F24" s="154">
        <v>0.24908238000000002</v>
      </c>
      <c r="G24" s="158">
        <v>0.12268542683004949</v>
      </c>
    </row>
    <row r="25" spans="1:7" ht="12.75">
      <c r="A25" s="139" t="s">
        <v>107</v>
      </c>
      <c r="B25" s="133">
        <v>-0.022298329999999998</v>
      </c>
      <c r="C25" s="117">
        <v>-0.00597136098</v>
      </c>
      <c r="D25" s="117">
        <v>-0.017524143</v>
      </c>
      <c r="E25" s="117">
        <v>-0.031571470000000004</v>
      </c>
      <c r="F25" s="152">
        <v>0.0085956794</v>
      </c>
      <c r="G25" s="158">
        <v>-0.015326770346239048</v>
      </c>
    </row>
    <row r="26" spans="1:7" ht="12.75">
      <c r="A26" s="139" t="s">
        <v>109</v>
      </c>
      <c r="B26" s="133">
        <v>0.049797702</v>
      </c>
      <c r="C26" s="117">
        <v>0.035737135</v>
      </c>
      <c r="D26" s="117">
        <v>0.036722666</v>
      </c>
      <c r="E26" s="117">
        <v>0.035425092000000005</v>
      </c>
      <c r="F26" s="152">
        <v>0.013157169</v>
      </c>
      <c r="G26" s="158">
        <v>0.03491750337725567</v>
      </c>
    </row>
    <row r="27" spans="1:7" ht="12.75">
      <c r="A27" s="139" t="s">
        <v>111</v>
      </c>
      <c r="B27" s="133">
        <v>0.058129152</v>
      </c>
      <c r="C27" s="117">
        <v>0.037569928</v>
      </c>
      <c r="D27" s="117">
        <v>0.02929909</v>
      </c>
      <c r="E27" s="117">
        <v>0.040923061999999996</v>
      </c>
      <c r="F27" s="152">
        <v>0.041901940000000006</v>
      </c>
      <c r="G27" s="158">
        <v>0.039938433401565276</v>
      </c>
    </row>
    <row r="28" spans="1:7" ht="12.75">
      <c r="A28" s="139" t="s">
        <v>113</v>
      </c>
      <c r="B28" s="133">
        <v>0.020289309</v>
      </c>
      <c r="C28" s="117">
        <v>0.025095375000000003</v>
      </c>
      <c r="D28" s="117">
        <v>0.024207543</v>
      </c>
      <c r="E28" s="117">
        <v>0.024627434999999996</v>
      </c>
      <c r="F28" s="152">
        <v>-0.0217809</v>
      </c>
      <c r="G28" s="158">
        <v>0.017814893335643938</v>
      </c>
    </row>
    <row r="29" spans="1:7" ht="13.5" thickBot="1">
      <c r="A29" s="140" t="s">
        <v>115</v>
      </c>
      <c r="B29" s="135">
        <v>0.0004397784999999999</v>
      </c>
      <c r="C29" s="118">
        <v>-0.001950532857</v>
      </c>
      <c r="D29" s="118">
        <v>0.0027140692099999995</v>
      </c>
      <c r="E29" s="118">
        <v>-0.00032413240000000006</v>
      </c>
      <c r="F29" s="155">
        <v>0.0078012817900000005</v>
      </c>
      <c r="G29" s="159">
        <v>0.001210897812731293</v>
      </c>
    </row>
    <row r="30" spans="1:7" ht="13.5" thickTop="1">
      <c r="A30" s="141" t="s">
        <v>116</v>
      </c>
      <c r="B30" s="136">
        <v>-0.135047125818455</v>
      </c>
      <c r="C30" s="125">
        <v>0.06213421420363574</v>
      </c>
      <c r="D30" s="125">
        <v>0.26346369768174716</v>
      </c>
      <c r="E30" s="125">
        <v>0.3802668120283042</v>
      </c>
      <c r="F30" s="121">
        <v>0.5946308270652758</v>
      </c>
      <c r="G30" s="160" t="s">
        <v>127</v>
      </c>
    </row>
    <row r="31" spans="1:7" ht="13.5" thickBot="1">
      <c r="A31" s="142" t="s">
        <v>117</v>
      </c>
      <c r="B31" s="131">
        <v>17.166138</v>
      </c>
      <c r="C31" s="122">
        <v>17.337037</v>
      </c>
      <c r="D31" s="122">
        <v>17.507935</v>
      </c>
      <c r="E31" s="122">
        <v>17.669678</v>
      </c>
      <c r="F31" s="123">
        <v>17.822266</v>
      </c>
      <c r="G31" s="162">
        <v>-209.32</v>
      </c>
    </row>
    <row r="32" spans="1:7" ht="15.75" thickBot="1" thickTop="1">
      <c r="A32" s="143" t="s">
        <v>118</v>
      </c>
      <c r="B32" s="137">
        <v>0.3499999940395355</v>
      </c>
      <c r="C32" s="126">
        <v>-0.4544999897480011</v>
      </c>
      <c r="D32" s="126">
        <v>0.335999995470047</v>
      </c>
      <c r="E32" s="126">
        <v>-0.16100000590085983</v>
      </c>
      <c r="F32" s="124">
        <v>0.17100000381469727</v>
      </c>
      <c r="G32" s="129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4.16015625" style="163" bestFit="1" customWidth="1"/>
    <col min="2" max="3" width="15.33203125" style="163" bestFit="1" customWidth="1"/>
    <col min="4" max="4" width="16" style="163" bestFit="1" customWidth="1"/>
    <col min="5" max="5" width="22.16015625" style="163" bestFit="1" customWidth="1"/>
    <col min="6" max="6" width="14.83203125" style="163" bestFit="1" customWidth="1"/>
    <col min="7" max="7" width="15.33203125" style="163" bestFit="1" customWidth="1"/>
    <col min="8" max="8" width="14.16015625" style="163" bestFit="1" customWidth="1"/>
    <col min="9" max="9" width="14.83203125" style="163" bestFit="1" customWidth="1"/>
    <col min="10" max="10" width="8.16015625" style="163" bestFit="1" customWidth="1"/>
    <col min="11" max="11" width="15" style="163" bestFit="1" customWidth="1"/>
    <col min="12" max="16384" width="10.66015625" style="163" customWidth="1"/>
  </cols>
  <sheetData>
    <row r="1" spans="1:5" ht="12.75">
      <c r="A1" s="163" t="s">
        <v>128</v>
      </c>
      <c r="B1" s="163" t="s">
        <v>129</v>
      </c>
      <c r="C1" s="163" t="s">
        <v>130</v>
      </c>
      <c r="D1" s="163" t="s">
        <v>131</v>
      </c>
      <c r="E1" s="163" t="s">
        <v>28</v>
      </c>
    </row>
    <row r="3" spans="1:7" ht="12.75">
      <c r="A3" s="163" t="s">
        <v>132</v>
      </c>
      <c r="B3" s="163" t="s">
        <v>83</v>
      </c>
      <c r="C3" s="163" t="s">
        <v>84</v>
      </c>
      <c r="D3" s="163" t="s">
        <v>85</v>
      </c>
      <c r="E3" s="163" t="s">
        <v>86</v>
      </c>
      <c r="F3" s="163" t="s">
        <v>87</v>
      </c>
      <c r="G3" s="163" t="s">
        <v>133</v>
      </c>
    </row>
    <row r="4" spans="1:7" ht="12.75">
      <c r="A4" s="163" t="s">
        <v>134</v>
      </c>
      <c r="B4" s="163">
        <f>0.00225*1.0033</f>
        <v>0.002257425</v>
      </c>
      <c r="C4" s="163">
        <f>0.003743*1.0033</f>
        <v>0.0037553519</v>
      </c>
      <c r="D4" s="163">
        <f>0.003743*1.0033</f>
        <v>0.0037553519</v>
      </c>
      <c r="E4" s="163">
        <f>0.003743*1.0033</f>
        <v>0.0037553519</v>
      </c>
      <c r="F4" s="163">
        <f>0.002077*1.0033</f>
        <v>0.0020838541</v>
      </c>
      <c r="G4" s="163">
        <f>0.011665*1.0033</f>
        <v>0.011703494500000002</v>
      </c>
    </row>
    <row r="5" spans="1:7" ht="12.75">
      <c r="A5" s="163" t="s">
        <v>135</v>
      </c>
      <c r="B5" s="163">
        <v>6.274198</v>
      </c>
      <c r="C5" s="163">
        <v>2.646456</v>
      </c>
      <c r="D5" s="163">
        <v>-0.082346</v>
      </c>
      <c r="E5" s="163">
        <v>-2.883305</v>
      </c>
      <c r="F5" s="163">
        <v>-6.161571</v>
      </c>
      <c r="G5" s="163">
        <v>4.072979</v>
      </c>
    </row>
    <row r="6" spans="1:7" ht="12.75">
      <c r="A6" s="163" t="s">
        <v>136</v>
      </c>
      <c r="B6" s="164">
        <v>2.606559</v>
      </c>
      <c r="C6" s="164">
        <v>-9.775348</v>
      </c>
      <c r="D6" s="164">
        <v>3.866482</v>
      </c>
      <c r="E6" s="164">
        <v>17.98578</v>
      </c>
      <c r="F6" s="164">
        <v>-24.61095</v>
      </c>
      <c r="G6" s="164">
        <v>-0.003388571</v>
      </c>
    </row>
    <row r="7" spans="1:7" ht="12.75">
      <c r="A7" s="163" t="s">
        <v>137</v>
      </c>
      <c r="B7" s="164">
        <v>10000</v>
      </c>
      <c r="C7" s="164">
        <v>10000</v>
      </c>
      <c r="D7" s="164">
        <v>10000</v>
      </c>
      <c r="E7" s="164">
        <v>10000</v>
      </c>
      <c r="F7" s="164">
        <v>10000</v>
      </c>
      <c r="G7" s="164">
        <v>10000</v>
      </c>
    </row>
    <row r="8" spans="1:7" ht="12.75">
      <c r="A8" s="163" t="s">
        <v>90</v>
      </c>
      <c r="B8" s="164">
        <v>2.735948</v>
      </c>
      <c r="C8" s="164">
        <v>2.360243</v>
      </c>
      <c r="D8" s="164">
        <v>1.125969</v>
      </c>
      <c r="E8" s="164">
        <v>1.619058</v>
      </c>
      <c r="F8" s="164">
        <v>-1.685073</v>
      </c>
      <c r="G8" s="164">
        <v>1.399213</v>
      </c>
    </row>
    <row r="9" spans="1:7" ht="12.75">
      <c r="A9" s="163" t="s">
        <v>92</v>
      </c>
      <c r="B9" s="164">
        <v>0.1770491</v>
      </c>
      <c r="C9" s="164">
        <v>-0.1626917</v>
      </c>
      <c r="D9" s="164">
        <v>-0.04501154</v>
      </c>
      <c r="E9" s="164">
        <v>0.08750279</v>
      </c>
      <c r="F9" s="164">
        <v>-1.394107</v>
      </c>
      <c r="G9" s="164">
        <v>-0.1894895</v>
      </c>
    </row>
    <row r="10" spans="1:7" ht="12.75">
      <c r="A10" s="163" t="s">
        <v>94</v>
      </c>
      <c r="B10" s="164">
        <v>-0.4928525</v>
      </c>
      <c r="C10" s="164">
        <v>-0.3174287</v>
      </c>
      <c r="D10" s="164">
        <v>0.5138867</v>
      </c>
      <c r="E10" s="164">
        <v>0.06870484</v>
      </c>
      <c r="F10" s="164">
        <v>-0.4464927</v>
      </c>
      <c r="G10" s="164">
        <v>-0.06710226</v>
      </c>
    </row>
    <row r="11" spans="1:7" ht="12.75">
      <c r="A11" s="163" t="s">
        <v>96</v>
      </c>
      <c r="B11" s="164">
        <v>4.546025</v>
      </c>
      <c r="C11" s="164">
        <v>3.979872</v>
      </c>
      <c r="D11" s="164">
        <v>3.696893</v>
      </c>
      <c r="E11" s="164">
        <v>4.23732</v>
      </c>
      <c r="F11" s="164">
        <v>15.06377</v>
      </c>
      <c r="G11" s="164">
        <v>5.53547</v>
      </c>
    </row>
    <row r="12" spans="1:7" ht="12.75">
      <c r="A12" s="163" t="s">
        <v>98</v>
      </c>
      <c r="B12" s="164">
        <v>0.0971625</v>
      </c>
      <c r="C12" s="164">
        <v>0.2159985</v>
      </c>
      <c r="D12" s="164">
        <v>0.3580619</v>
      </c>
      <c r="E12" s="164">
        <v>0.1434363</v>
      </c>
      <c r="F12" s="164">
        <v>-0.3670699</v>
      </c>
      <c r="G12" s="164">
        <v>0.1376919</v>
      </c>
    </row>
    <row r="13" spans="1:7" ht="12.75">
      <c r="A13" s="163" t="s">
        <v>100</v>
      </c>
      <c r="B13" s="164">
        <v>0.1037408</v>
      </c>
      <c r="C13" s="164">
        <v>-0.1069637</v>
      </c>
      <c r="D13" s="164">
        <v>0.02297772</v>
      </c>
      <c r="E13" s="164">
        <v>-0.01939097</v>
      </c>
      <c r="F13" s="164">
        <v>-0.1079368</v>
      </c>
      <c r="G13" s="164">
        <v>-0.02428788</v>
      </c>
    </row>
    <row r="14" spans="1:7" ht="12.75">
      <c r="A14" s="163" t="s">
        <v>102</v>
      </c>
      <c r="B14" s="164">
        <v>-0.08701157</v>
      </c>
      <c r="C14" s="164">
        <v>-0.007185441</v>
      </c>
      <c r="D14" s="164">
        <v>0.03194392</v>
      </c>
      <c r="E14" s="164">
        <v>-0.05029181</v>
      </c>
      <c r="F14" s="164">
        <v>-0.004878373</v>
      </c>
      <c r="G14" s="164">
        <v>-0.01937771</v>
      </c>
    </row>
    <row r="15" spans="1:7" ht="12.75">
      <c r="A15" s="163" t="s">
        <v>104</v>
      </c>
      <c r="B15" s="164">
        <v>-0.2715116</v>
      </c>
      <c r="C15" s="164">
        <v>-0.005238624</v>
      </c>
      <c r="D15" s="164">
        <v>-0.006178218</v>
      </c>
      <c r="E15" s="164">
        <v>0.02319044</v>
      </c>
      <c r="F15" s="164">
        <v>-0.286195</v>
      </c>
      <c r="G15" s="164">
        <v>-0.07463165</v>
      </c>
    </row>
    <row r="16" spans="1:7" ht="12.75">
      <c r="A16" s="163" t="s">
        <v>106</v>
      </c>
      <c r="B16" s="164">
        <v>0.006053476</v>
      </c>
      <c r="C16" s="164">
        <v>0.005449521</v>
      </c>
      <c r="D16" s="164">
        <v>0.01826554</v>
      </c>
      <c r="E16" s="164">
        <v>0.0149222</v>
      </c>
      <c r="F16" s="164">
        <v>-0.0008488495</v>
      </c>
      <c r="G16" s="164">
        <v>0.01005815</v>
      </c>
    </row>
    <row r="17" spans="1:7" ht="12.75">
      <c r="A17" s="163" t="s">
        <v>108</v>
      </c>
      <c r="B17" s="164">
        <v>-0.004453253</v>
      </c>
      <c r="C17" s="164">
        <v>-0.005473819</v>
      </c>
      <c r="D17" s="164">
        <v>-0.003488319</v>
      </c>
      <c r="E17" s="164">
        <v>-0.003834819</v>
      </c>
      <c r="F17" s="164">
        <v>-0.02433345</v>
      </c>
      <c r="G17" s="164">
        <v>-0.006968847</v>
      </c>
    </row>
    <row r="18" spans="1:7" ht="12.75">
      <c r="A18" s="163" t="s">
        <v>110</v>
      </c>
      <c r="B18" s="164">
        <v>0.02429906</v>
      </c>
      <c r="C18" s="164">
        <v>0.02394543</v>
      </c>
      <c r="D18" s="164">
        <v>0.01298984</v>
      </c>
      <c r="E18" s="164">
        <v>0.02017187</v>
      </c>
      <c r="F18" s="164">
        <v>0.001988303</v>
      </c>
      <c r="G18" s="164">
        <v>0.01752524</v>
      </c>
    </row>
    <row r="19" spans="1:7" ht="12.75">
      <c r="A19" s="163" t="s">
        <v>112</v>
      </c>
      <c r="B19" s="164">
        <v>-0.2029594</v>
      </c>
      <c r="C19" s="164">
        <v>-0.1792546</v>
      </c>
      <c r="D19" s="164">
        <v>-0.172497</v>
      </c>
      <c r="E19" s="164">
        <v>-0.1824887</v>
      </c>
      <c r="F19" s="164">
        <v>-0.1425148</v>
      </c>
      <c r="G19" s="164">
        <v>-0.1769278</v>
      </c>
    </row>
    <row r="20" spans="1:7" ht="12.75">
      <c r="A20" s="163" t="s">
        <v>114</v>
      </c>
      <c r="B20" s="164">
        <v>-0.001473487</v>
      </c>
      <c r="C20" s="164">
        <v>-0.002100975</v>
      </c>
      <c r="D20" s="164">
        <v>-0.003202017</v>
      </c>
      <c r="E20" s="164">
        <v>5.39601E-05</v>
      </c>
      <c r="F20" s="164">
        <v>0.004468735</v>
      </c>
      <c r="G20" s="164">
        <v>-0.0008793617</v>
      </c>
    </row>
    <row r="21" spans="1:7" ht="12.75">
      <c r="A21" s="163" t="s">
        <v>138</v>
      </c>
      <c r="B21" s="164">
        <v>-90.33228</v>
      </c>
      <c r="C21" s="164">
        <v>38.56676</v>
      </c>
      <c r="D21" s="164">
        <v>92.12242</v>
      </c>
      <c r="E21" s="164">
        <v>2.624883</v>
      </c>
      <c r="F21" s="164">
        <v>-142.4239</v>
      </c>
      <c r="G21" s="164">
        <v>-0.0006017147</v>
      </c>
    </row>
    <row r="22" spans="1:7" ht="12.75">
      <c r="A22" s="163" t="s">
        <v>139</v>
      </c>
      <c r="B22" s="164">
        <v>125.4906</v>
      </c>
      <c r="C22" s="164">
        <v>52.92962</v>
      </c>
      <c r="D22" s="164">
        <v>-1.646916</v>
      </c>
      <c r="E22" s="164">
        <v>-57.66675</v>
      </c>
      <c r="F22" s="164">
        <v>-123.2377</v>
      </c>
      <c r="G22" s="164">
        <v>0</v>
      </c>
    </row>
    <row r="23" spans="1:7" ht="12.75">
      <c r="A23" s="163" t="s">
        <v>91</v>
      </c>
      <c r="B23" s="164">
        <v>2.850968</v>
      </c>
      <c r="C23" s="164">
        <v>0.2079174</v>
      </c>
      <c r="D23" s="164">
        <v>0.2191248</v>
      </c>
      <c r="E23" s="164">
        <v>1.593624</v>
      </c>
      <c r="F23" s="164">
        <v>9.224578</v>
      </c>
      <c r="G23" s="164">
        <v>2.130056</v>
      </c>
    </row>
    <row r="24" spans="1:7" ht="12.75">
      <c r="A24" s="163" t="s">
        <v>93</v>
      </c>
      <c r="B24" s="164">
        <v>0.3575378</v>
      </c>
      <c r="C24" s="164">
        <v>-1.10178</v>
      </c>
      <c r="D24" s="164">
        <v>-2.255958</v>
      </c>
      <c r="E24" s="164">
        <v>-1.568558</v>
      </c>
      <c r="F24" s="164">
        <v>0.1662136</v>
      </c>
      <c r="G24" s="164">
        <v>-1.111462</v>
      </c>
    </row>
    <row r="25" spans="1:7" ht="12.75">
      <c r="A25" s="163" t="s">
        <v>95</v>
      </c>
      <c r="B25" s="164">
        <v>0.3524726</v>
      </c>
      <c r="C25" s="164">
        <v>-0.05578029</v>
      </c>
      <c r="D25" s="164">
        <v>0.2285878</v>
      </c>
      <c r="E25" s="164">
        <v>0.4734767</v>
      </c>
      <c r="F25" s="164">
        <v>-1.9561</v>
      </c>
      <c r="G25" s="164">
        <v>-0.05468573</v>
      </c>
    </row>
    <row r="26" spans="1:7" ht="12.75">
      <c r="A26" s="163" t="s">
        <v>140</v>
      </c>
      <c r="B26" s="164">
        <v>0.620761</v>
      </c>
      <c r="C26" s="164">
        <v>0.3180823</v>
      </c>
      <c r="D26" s="164">
        <v>0.9319596</v>
      </c>
      <c r="E26" s="164">
        <v>0.6007941</v>
      </c>
      <c r="F26" s="164">
        <v>0.9398099</v>
      </c>
      <c r="G26" s="164">
        <v>0.6603235</v>
      </c>
    </row>
    <row r="27" spans="1:7" ht="12.75">
      <c r="A27" s="163" t="s">
        <v>99</v>
      </c>
      <c r="B27" s="164">
        <v>0.1041892</v>
      </c>
      <c r="C27" s="164">
        <v>0.1345458</v>
      </c>
      <c r="D27" s="164">
        <v>-0.1453826</v>
      </c>
      <c r="E27" s="164">
        <v>-0.02564885</v>
      </c>
      <c r="F27" s="164">
        <v>0.4750558</v>
      </c>
      <c r="G27" s="164">
        <v>0.06971267</v>
      </c>
    </row>
    <row r="28" spans="1:7" ht="12.75">
      <c r="A28" s="163" t="s">
        <v>101</v>
      </c>
      <c r="B28" s="164">
        <v>0.1980645</v>
      </c>
      <c r="C28" s="164">
        <v>-0.02881456</v>
      </c>
      <c r="D28" s="164">
        <v>-0.06644035</v>
      </c>
      <c r="E28" s="164">
        <v>-0.007384653</v>
      </c>
      <c r="F28" s="164">
        <v>-0.115007</v>
      </c>
      <c r="G28" s="164">
        <v>-0.01140776</v>
      </c>
    </row>
    <row r="29" spans="1:7" ht="12.75">
      <c r="A29" s="163" t="s">
        <v>103</v>
      </c>
      <c r="B29" s="164">
        <v>0.02012328</v>
      </c>
      <c r="C29" s="164">
        <v>-0.07983425</v>
      </c>
      <c r="D29" s="164">
        <v>0.06188048</v>
      </c>
      <c r="E29" s="164">
        <v>0.04128885</v>
      </c>
      <c r="F29" s="164">
        <v>0.04488907</v>
      </c>
      <c r="G29" s="164">
        <v>0.01451585</v>
      </c>
    </row>
    <row r="30" spans="1:7" ht="12.75">
      <c r="A30" s="163" t="s">
        <v>105</v>
      </c>
      <c r="B30" s="164">
        <v>0.08926841</v>
      </c>
      <c r="C30" s="164">
        <v>0.09740966</v>
      </c>
      <c r="D30" s="164">
        <v>0.1182268</v>
      </c>
      <c r="E30" s="164">
        <v>0.09522836</v>
      </c>
      <c r="F30" s="164">
        <v>0.2675643</v>
      </c>
      <c r="G30" s="164">
        <v>0.1234398</v>
      </c>
    </row>
    <row r="31" spans="1:7" ht="12.75">
      <c r="A31" s="163" t="s">
        <v>107</v>
      </c>
      <c r="B31" s="164">
        <v>-0.01411498</v>
      </c>
      <c r="C31" s="164">
        <v>-0.0006261722</v>
      </c>
      <c r="D31" s="164">
        <v>-0.0115216</v>
      </c>
      <c r="E31" s="164">
        <v>-0.02494532</v>
      </c>
      <c r="F31" s="164">
        <v>0.02361755</v>
      </c>
      <c r="G31" s="164">
        <v>-0.007813989</v>
      </c>
    </row>
    <row r="32" spans="1:7" ht="12.75">
      <c r="A32" s="163" t="s">
        <v>109</v>
      </c>
      <c r="B32" s="164">
        <v>0.04457742</v>
      </c>
      <c r="C32" s="164">
        <v>0.03550222</v>
      </c>
      <c r="D32" s="164">
        <v>0.03773822</v>
      </c>
      <c r="E32" s="164">
        <v>0.03588722</v>
      </c>
      <c r="F32" s="164">
        <v>0.01171701</v>
      </c>
      <c r="G32" s="164">
        <v>0.03427029</v>
      </c>
    </row>
    <row r="33" spans="1:7" ht="12.75">
      <c r="A33" s="163" t="s">
        <v>111</v>
      </c>
      <c r="B33" s="164">
        <v>0.06732283</v>
      </c>
      <c r="C33" s="164">
        <v>0.03539915</v>
      </c>
      <c r="D33" s="164">
        <v>0.02283344</v>
      </c>
      <c r="E33" s="164">
        <v>0.04013522</v>
      </c>
      <c r="F33" s="164">
        <v>0.05025665</v>
      </c>
      <c r="G33" s="164">
        <v>0.04011376</v>
      </c>
    </row>
    <row r="34" spans="1:7" ht="12.75">
      <c r="A34" s="163" t="s">
        <v>113</v>
      </c>
      <c r="B34" s="164">
        <v>0.002536542</v>
      </c>
      <c r="C34" s="164">
        <v>0.01848816</v>
      </c>
      <c r="D34" s="164">
        <v>0.02441661</v>
      </c>
      <c r="E34" s="164">
        <v>0.03203728</v>
      </c>
      <c r="F34" s="164">
        <v>-0.009529785</v>
      </c>
      <c r="G34" s="164">
        <v>0.01714696</v>
      </c>
    </row>
    <row r="35" spans="1:7" ht="12.75">
      <c r="A35" s="163" t="s">
        <v>115</v>
      </c>
      <c r="B35" s="164">
        <v>0.0003025681</v>
      </c>
      <c r="C35" s="164">
        <v>-0.002035504</v>
      </c>
      <c r="D35" s="164">
        <v>0.002716573</v>
      </c>
      <c r="E35" s="164">
        <v>-0.000325761</v>
      </c>
      <c r="F35" s="164">
        <v>0.007420667</v>
      </c>
      <c r="G35" s="164">
        <v>0.001119991</v>
      </c>
    </row>
    <row r="36" spans="1:6" ht="12.75">
      <c r="A36" s="163" t="s">
        <v>141</v>
      </c>
      <c r="B36" s="164">
        <v>17.82227</v>
      </c>
      <c r="C36" s="164">
        <v>17.84058</v>
      </c>
      <c r="D36" s="164">
        <v>17.87109</v>
      </c>
      <c r="E36" s="164">
        <v>17.89551</v>
      </c>
      <c r="F36" s="164">
        <v>17.92603</v>
      </c>
    </row>
    <row r="37" spans="1:6" ht="12.75">
      <c r="A37" s="163" t="s">
        <v>142</v>
      </c>
      <c r="B37" s="164">
        <v>0.1724243</v>
      </c>
      <c r="C37" s="164">
        <v>0.1678467</v>
      </c>
      <c r="D37" s="164">
        <v>0.1622518</v>
      </c>
      <c r="E37" s="164">
        <v>0.1617432</v>
      </c>
      <c r="F37" s="164">
        <v>0.1546224</v>
      </c>
    </row>
    <row r="38" spans="1:7" ht="12.75">
      <c r="A38" s="163" t="s">
        <v>143</v>
      </c>
      <c r="B38" s="164">
        <v>0</v>
      </c>
      <c r="C38" s="164">
        <v>1.627061E-05</v>
      </c>
      <c r="D38" s="164">
        <v>0</v>
      </c>
      <c r="E38" s="164">
        <v>-3.054908E-05</v>
      </c>
      <c r="F38" s="164">
        <v>3.884888E-05</v>
      </c>
      <c r="G38" s="164">
        <v>0.0002580442</v>
      </c>
    </row>
    <row r="39" spans="1:7" ht="12.75">
      <c r="A39" s="163" t="s">
        <v>144</v>
      </c>
      <c r="B39" s="164">
        <v>0.0001535963</v>
      </c>
      <c r="C39" s="164">
        <v>-6.56496E-05</v>
      </c>
      <c r="D39" s="164">
        <v>-0.0001566092</v>
      </c>
      <c r="E39" s="164">
        <v>0</v>
      </c>
      <c r="F39" s="164">
        <v>0.0002425994</v>
      </c>
      <c r="G39" s="164">
        <v>0.0005369109</v>
      </c>
    </row>
    <row r="40" spans="2:5" ht="12.75">
      <c r="B40" s="163" t="s">
        <v>145</v>
      </c>
      <c r="C40" s="163" t="s">
        <v>146</v>
      </c>
      <c r="D40" s="163" t="s">
        <v>147</v>
      </c>
      <c r="E40" s="163">
        <v>3.116552</v>
      </c>
    </row>
    <row r="42" ht="12.75">
      <c r="A42" s="163" t="s">
        <v>148</v>
      </c>
    </row>
    <row r="43" spans="1:6" ht="12.75">
      <c r="A43" s="163" t="s">
        <v>149</v>
      </c>
      <c r="B43" s="163">
        <v>10</v>
      </c>
      <c r="C43" s="163">
        <v>10</v>
      </c>
      <c r="D43" s="163">
        <v>10</v>
      </c>
      <c r="E43" s="163">
        <v>10</v>
      </c>
      <c r="F43" s="163">
        <v>10</v>
      </c>
    </row>
    <row r="44" spans="1:10" ht="12.75">
      <c r="A44" s="163" t="s">
        <v>150</v>
      </c>
      <c r="B44" s="163">
        <v>12.515</v>
      </c>
      <c r="C44" s="163">
        <v>12.515</v>
      </c>
      <c r="D44" s="163">
        <v>12.515</v>
      </c>
      <c r="E44" s="163">
        <v>12.515</v>
      </c>
      <c r="F44" s="163">
        <v>12.515</v>
      </c>
      <c r="J44" s="163">
        <v>12.515</v>
      </c>
    </row>
    <row r="50" spans="1:7" ht="12.75">
      <c r="A50" s="163" t="s">
        <v>151</v>
      </c>
      <c r="B50" s="163">
        <f>-0.017/(B7*B7+B22*B22)*(B21*B22+B6*B7)</f>
        <v>-2.5036611833570783E-06</v>
      </c>
      <c r="C50" s="163">
        <f>-0.017/(C7*C7+C22*C22)*(C21*C22+C6*C7)</f>
        <v>1.6270610699829314E-05</v>
      </c>
      <c r="D50" s="163">
        <f>-0.017/(D7*D7+D22*D22)*(D21*D22+D6*D7)</f>
        <v>-6.5472271815498E-06</v>
      </c>
      <c r="E50" s="163">
        <f>-0.017/(E7*E7+E22*E22)*(E21*E22+E6*E7)</f>
        <v>-3.0549077464268685E-05</v>
      </c>
      <c r="F50" s="163">
        <f>-0.017/(F7*F7+F22*F22)*(F21*F22+F6*F7)</f>
        <v>3.884887585867676E-05</v>
      </c>
      <c r="G50" s="163">
        <f>(B50*B$4+C50*C$4+D50*D$4+E50*E$4+F50*F$4)/SUM(B$4:F$4)</f>
        <v>-1.8608221547436735E-07</v>
      </c>
    </row>
    <row r="51" spans="1:7" ht="12.75">
      <c r="A51" s="163" t="s">
        <v>152</v>
      </c>
      <c r="B51" s="163">
        <f>-0.017/(B7*B7+B22*B22)*(B21*B7-B6*B22)</f>
        <v>0.00015359629459440961</v>
      </c>
      <c r="C51" s="163">
        <f>-0.017/(C7*C7+C22*C22)*(C21*C7-C6*C22)</f>
        <v>-6.5649611724151E-05</v>
      </c>
      <c r="D51" s="163">
        <f>-0.017/(D7*D7+D22*D22)*(D21*D7-D6*D22)</f>
        <v>-0.0001566091922733201</v>
      </c>
      <c r="E51" s="163">
        <f>-0.017/(E7*E7+E22*E22)*(E21*E7-E6*E22)</f>
        <v>-4.638467701286263E-06</v>
      </c>
      <c r="F51" s="163">
        <f>-0.017/(F7*F7+F22*F22)*(F21*F7-F6*F22)</f>
        <v>0.0002425993946108409</v>
      </c>
      <c r="G51" s="163">
        <f>(B51*B$4+C51*C$4+D51*D$4+E51*E$4+F51*F$4)/SUM(B$4:F$4)</f>
        <v>1.2478624047910814E-08</v>
      </c>
    </row>
    <row r="58" ht="12.75">
      <c r="A58" s="163" t="s">
        <v>154</v>
      </c>
    </row>
    <row r="60" spans="2:6" ht="12.75">
      <c r="B60" s="163" t="s">
        <v>83</v>
      </c>
      <c r="C60" s="163" t="s">
        <v>84</v>
      </c>
      <c r="D60" s="163" t="s">
        <v>85</v>
      </c>
      <c r="E60" s="163" t="s">
        <v>86</v>
      </c>
      <c r="F60" s="163" t="s">
        <v>87</v>
      </c>
    </row>
    <row r="61" spans="1:6" ht="12.75">
      <c r="A61" s="163" t="s">
        <v>156</v>
      </c>
      <c r="B61" s="163">
        <f>B6+(1/0.017)*(B7*B50-B22*B51)</f>
        <v>0</v>
      </c>
      <c r="C61" s="163">
        <f>C6+(1/0.017)*(C7*C50-C22*C51)</f>
        <v>0</v>
      </c>
      <c r="D61" s="163">
        <f>D6+(1/0.017)*(D7*D50-D22*D51)</f>
        <v>0</v>
      </c>
      <c r="E61" s="163">
        <f>E6+(1/0.017)*(E7*E50-E22*E51)</f>
        <v>0</v>
      </c>
      <c r="F61" s="163">
        <f>F6+(1/0.017)*(F7*F50-F22*F51)</f>
        <v>0</v>
      </c>
    </row>
    <row r="62" spans="1:6" ht="12.75">
      <c r="A62" s="163" t="s">
        <v>159</v>
      </c>
      <c r="B62" s="163">
        <f>B7+(2/0.017)*(B8*B50-B23*B51)</f>
        <v>9999.947676704987</v>
      </c>
      <c r="C62" s="163">
        <f>C7+(2/0.017)*(C8*C50-C23*C51)</f>
        <v>10000.00612379901</v>
      </c>
      <c r="D62" s="163">
        <f>D7+(2/0.017)*(D8*D50-D23*D51)</f>
        <v>10000.003169998012</v>
      </c>
      <c r="E62" s="163">
        <f>E7+(2/0.017)*(E8*E50-E23*E51)</f>
        <v>9999.995050734728</v>
      </c>
      <c r="F62" s="163">
        <f>F7+(2/0.017)*(F8*F50-F23*F51)</f>
        <v>9999.729018796455</v>
      </c>
    </row>
    <row r="63" spans="1:6" ht="12.75">
      <c r="A63" s="163" t="s">
        <v>160</v>
      </c>
      <c r="B63" s="163">
        <f>B8+(3/0.017)*(B9*B50-B24*B51)</f>
        <v>2.726178631961767</v>
      </c>
      <c r="C63" s="163">
        <f>C8+(3/0.017)*(C9*C50-C24*C51)</f>
        <v>2.347011496025842</v>
      </c>
      <c r="D63" s="163">
        <f>D8+(3/0.017)*(D9*D50-D24*D51)</f>
        <v>1.0636732836345242</v>
      </c>
      <c r="E63" s="163">
        <f>E8+(3/0.017)*(E9*E50-E24*E51)</f>
        <v>1.6173023232122394</v>
      </c>
      <c r="F63" s="163">
        <f>F8+(3/0.017)*(F9*F50-F24*F51)</f>
        <v>-1.7017464367963766</v>
      </c>
    </row>
    <row r="64" spans="1:6" ht="12.75">
      <c r="A64" s="163" t="s">
        <v>161</v>
      </c>
      <c r="B64" s="163">
        <f>B9+(4/0.017)*(B10*B50-B25*B51)</f>
        <v>0.16460097067466187</v>
      </c>
      <c r="C64" s="163">
        <f>C9+(4/0.017)*(C10*C50-C25*C51)</f>
        <v>-0.1647685736901208</v>
      </c>
      <c r="D64" s="163">
        <f>D9+(4/0.017)*(D10*D50-D25*D51)</f>
        <v>-0.03737991229386863</v>
      </c>
      <c r="E64" s="163">
        <f>E9+(4/0.017)*(E10*E50-E25*E51)</f>
        <v>0.08752569280021916</v>
      </c>
      <c r="F64" s="163">
        <f>F9+(4/0.017)*(F10*F50-F25*F51)</f>
        <v>-1.2865298385119623</v>
      </c>
    </row>
    <row r="65" spans="1:6" ht="12.75">
      <c r="A65" s="163" t="s">
        <v>162</v>
      </c>
      <c r="B65" s="163">
        <f>B10+(5/0.017)*(B11*B50-B26*B51)</f>
        <v>-0.524243175223468</v>
      </c>
      <c r="C65" s="163">
        <f>C10+(5/0.017)*(C11*C50-C26*C51)</f>
        <v>-0.29224136840044823</v>
      </c>
      <c r="D65" s="163">
        <f>D10+(5/0.017)*(D11*D50-D26*D51)</f>
        <v>0.549695241720731</v>
      </c>
      <c r="E65" s="163">
        <f>E10+(5/0.017)*(E11*E50-E26*E51)</f>
        <v>0.03145205973737599</v>
      </c>
      <c r="F65" s="163">
        <f>F10+(5/0.017)*(F11*F50-F26*F51)</f>
        <v>-0.3414299888516517</v>
      </c>
    </row>
    <row r="66" spans="1:6" ht="12.75">
      <c r="A66" s="163" t="s">
        <v>163</v>
      </c>
      <c r="B66" s="163">
        <f>B11+(6/0.017)*(B12*B50-B27*B51)</f>
        <v>4.540290998693006</v>
      </c>
      <c r="C66" s="163">
        <f>C11+(6/0.017)*(C12*C50-C27*C51)</f>
        <v>3.984229873070951</v>
      </c>
      <c r="D66" s="163">
        <f>D11+(6/0.017)*(D12*D50-D27*D51)</f>
        <v>3.6880297420608406</v>
      </c>
      <c r="E66" s="163">
        <f>E11+(6/0.017)*(E12*E50-E27*E51)</f>
        <v>4.235731475999228</v>
      </c>
      <c r="F66" s="163">
        <f>F11+(6/0.017)*(F12*F50-F27*F51)</f>
        <v>15.01806111677779</v>
      </c>
    </row>
    <row r="67" spans="1:6" ht="12.75">
      <c r="A67" s="163" t="s">
        <v>164</v>
      </c>
      <c r="B67" s="163">
        <f>B12+(7/0.017)*(B13*B50-B28*B51)</f>
        <v>0.08452885672155917</v>
      </c>
      <c r="C67" s="163">
        <f>C12+(7/0.017)*(C13*C50-C28*C51)</f>
        <v>0.2145029584832936</v>
      </c>
      <c r="D67" s="163">
        <f>D12+(7/0.017)*(D13*D50-D28*D51)</f>
        <v>0.3537154723937838</v>
      </c>
      <c r="E67" s="163">
        <f>E12+(7/0.017)*(E13*E50-E28*E51)</f>
        <v>0.1436661152583224</v>
      </c>
      <c r="F67" s="163">
        <f>F12+(7/0.017)*(F13*F50-F28*F51)</f>
        <v>-0.35730802725731864</v>
      </c>
    </row>
    <row r="68" spans="1:6" ht="12.75">
      <c r="A68" s="163" t="s">
        <v>165</v>
      </c>
      <c r="B68" s="163">
        <f>B13+(8/0.017)*(B14*B50-B29*B51)</f>
        <v>0.10238879352810643</v>
      </c>
      <c r="C68" s="163">
        <f>C13+(8/0.017)*(C14*C50-C29*C51)</f>
        <v>-0.10948511130729711</v>
      </c>
      <c r="D68" s="163">
        <f>D13+(8/0.017)*(D14*D50-D29*D51)</f>
        <v>0.02743979430069463</v>
      </c>
      <c r="E68" s="163">
        <f>E13+(8/0.017)*(E14*E50-E29*E51)</f>
        <v>-0.018577847460396923</v>
      </c>
      <c r="F68" s="163">
        <f>F13+(8/0.017)*(F14*F50-F29*F51)</f>
        <v>-0.11315072024174729</v>
      </c>
    </row>
    <row r="69" spans="1:6" ht="12.75">
      <c r="A69" s="163" t="s">
        <v>166</v>
      </c>
      <c r="B69" s="163">
        <f>B14+(9/0.017)*(B15*B50-B30*B51)</f>
        <v>-0.09391061208936766</v>
      </c>
      <c r="C69" s="163">
        <f>C14+(9/0.017)*(C15*C50-C30*C51)</f>
        <v>-0.003845027075925117</v>
      </c>
      <c r="D69" s="163">
        <f>D14+(9/0.017)*(D15*D50-D30*D51)</f>
        <v>0.041767607332290735</v>
      </c>
      <c r="E69" s="163">
        <f>E14+(9/0.017)*(E15*E50-E30*E51)</f>
        <v>-0.05043302152252683</v>
      </c>
      <c r="F69" s="163">
        <f>F14+(9/0.017)*(F15*F50-F30*F51)</f>
        <v>-0.045129174237213326</v>
      </c>
    </row>
    <row r="70" spans="1:6" ht="12.75">
      <c r="A70" s="163" t="s">
        <v>167</v>
      </c>
      <c r="B70" s="163">
        <f>B15+(10/0.017)*(B16*B50-B31*B51)</f>
        <v>-0.27024521601565377</v>
      </c>
      <c r="C70" s="163">
        <f>C15+(10/0.017)*(C16*C50-C31*C51)</f>
        <v>-0.005210648074771125</v>
      </c>
      <c r="D70" s="163">
        <f>D15+(10/0.017)*(D16*D50-D31*D51)</f>
        <v>-0.007309969240982335</v>
      </c>
      <c r="E70" s="163">
        <f>E15+(10/0.017)*(E16*E50-E31*E51)</f>
        <v>0.0228542238206732</v>
      </c>
      <c r="F70" s="163">
        <f>F15+(10/0.017)*(F16*F50-F31*F51)</f>
        <v>-0.28958475304767023</v>
      </c>
    </row>
    <row r="71" spans="1:6" ht="12.75">
      <c r="A71" s="163" t="s">
        <v>168</v>
      </c>
      <c r="B71" s="163">
        <f>B16+(11/0.017)*(B17*B50-B32*B51)</f>
        <v>0.0016303261131216159</v>
      </c>
      <c r="C71" s="163">
        <f>C16+(11/0.017)*(C17*C50-C32*C51)</f>
        <v>0.006899996904935626</v>
      </c>
      <c r="D71" s="163">
        <f>D16+(11/0.017)*(D17*D50-D32*D51)</f>
        <v>0.022104534156416663</v>
      </c>
      <c r="E71" s="163">
        <f>E16+(11/0.017)*(E17*E50-E32*E51)</f>
        <v>0.01510571357818032</v>
      </c>
      <c r="F71" s="163">
        <f>F16+(11/0.017)*(F17*F50-F32*F51)</f>
        <v>-0.003299822077649256</v>
      </c>
    </row>
    <row r="72" spans="1:6" ht="12.75">
      <c r="A72" s="163" t="s">
        <v>169</v>
      </c>
      <c r="B72" s="163">
        <f>B17+(12/0.017)*(B18*B50-B33*B51)</f>
        <v>-0.011795399242063593</v>
      </c>
      <c r="C72" s="163">
        <f>C17+(12/0.017)*(C18*C50-C33*C51)</f>
        <v>-0.0035583739018105933</v>
      </c>
      <c r="D72" s="163">
        <f>D17+(12/0.017)*(D18*D50-D33*D51)</f>
        <v>-0.0010241690035134106</v>
      </c>
      <c r="E72" s="163">
        <f>E17+(12/0.017)*(E18*E50-E33*E51)</f>
        <v>-0.004138395068876569</v>
      </c>
      <c r="F72" s="163">
        <f>F17+(12/0.017)*(F18*F50-F33*F51)</f>
        <v>-0.032885207314413516</v>
      </c>
    </row>
    <row r="73" spans="1:6" ht="12.75">
      <c r="A73" s="163" t="s">
        <v>170</v>
      </c>
      <c r="B73" s="163">
        <f>B18+(13/0.017)*(B19*B50-B34*B51)</f>
        <v>0.024389706797107443</v>
      </c>
      <c r="C73" s="163">
        <f>C18+(13/0.017)*(C19*C50-C34*C51)</f>
        <v>0.022643257250919094</v>
      </c>
      <c r="D73" s="163">
        <f>D18+(13/0.017)*(D19*D50-D34*D51)</f>
        <v>0.01677761376616177</v>
      </c>
      <c r="E73" s="163">
        <f>E18+(13/0.017)*(E19*E50-E34*E51)</f>
        <v>0.024548637598542342</v>
      </c>
      <c r="F73" s="163">
        <f>F18+(13/0.017)*(F19*F50-F34*F51)</f>
        <v>-0.00047758265405204456</v>
      </c>
    </row>
    <row r="74" spans="1:6" ht="12.75">
      <c r="A74" s="163" t="s">
        <v>171</v>
      </c>
      <c r="B74" s="163">
        <f>B19+(14/0.017)*(B20*B50-B35*B51)</f>
        <v>-0.20299463406914292</v>
      </c>
      <c r="C74" s="163">
        <f>C19+(14/0.017)*(C20*C50-C35*C51)</f>
        <v>-0.17939279992412308</v>
      </c>
      <c r="D74" s="163">
        <f>D19+(14/0.017)*(D20*D50-D35*D51)</f>
        <v>-0.17212937265268968</v>
      </c>
      <c r="E74" s="163">
        <f>E19+(14/0.017)*(E20*E50-E35*E51)</f>
        <v>-0.18249130191083082</v>
      </c>
      <c r="F74" s="163">
        <f>F19+(14/0.017)*(F20*F50-F35*F51)</f>
        <v>-0.14385438916868684</v>
      </c>
    </row>
    <row r="75" spans="1:6" ht="12.75">
      <c r="A75" s="163" t="s">
        <v>172</v>
      </c>
      <c r="B75" s="164">
        <f>B20</f>
        <v>-0.001473487</v>
      </c>
      <c r="C75" s="164">
        <f>C20</f>
        <v>-0.002100975</v>
      </c>
      <c r="D75" s="164">
        <f>D20</f>
        <v>-0.003202017</v>
      </c>
      <c r="E75" s="164">
        <f>E20</f>
        <v>5.39601E-05</v>
      </c>
      <c r="F75" s="164">
        <f>F20</f>
        <v>0.004468735</v>
      </c>
    </row>
    <row r="78" ht="12.75">
      <c r="A78" s="163" t="s">
        <v>154</v>
      </c>
    </row>
    <row r="80" spans="2:6" ht="12.75">
      <c r="B80" s="163" t="s">
        <v>83</v>
      </c>
      <c r="C80" s="163" t="s">
        <v>84</v>
      </c>
      <c r="D80" s="163" t="s">
        <v>85</v>
      </c>
      <c r="E80" s="163" t="s">
        <v>86</v>
      </c>
      <c r="F80" s="163" t="s">
        <v>87</v>
      </c>
    </row>
    <row r="81" spans="1:6" ht="12.75">
      <c r="A81" s="163" t="s">
        <v>173</v>
      </c>
      <c r="B81" s="163">
        <f>B21+(1/0.017)*(B7*B51+B22*B50)</f>
        <v>0</v>
      </c>
      <c r="C81" s="163">
        <f>C21+(1/0.017)*(C7*C51+C22*C50)</f>
        <v>0</v>
      </c>
      <c r="D81" s="163">
        <f>D21+(1/0.017)*(D7*D51+D22*D50)</f>
        <v>0</v>
      </c>
      <c r="E81" s="163">
        <f>E21+(1/0.017)*(E7*E51+E22*E50)</f>
        <v>0</v>
      </c>
      <c r="F81" s="163">
        <f>F21+(1/0.017)*(F7*F51+F22*F50)</f>
        <v>0</v>
      </c>
    </row>
    <row r="82" spans="1:6" ht="12.75">
      <c r="A82" s="163" t="s">
        <v>174</v>
      </c>
      <c r="B82" s="163">
        <f>B22+(2/0.017)*(B8*B51+B23*B50)</f>
        <v>125.53919924906899</v>
      </c>
      <c r="C82" s="163">
        <f>C22+(2/0.017)*(C8*C51+C23*C50)</f>
        <v>52.91178869488805</v>
      </c>
      <c r="D82" s="163">
        <f>D22+(2/0.017)*(D8*D51+D23*D50)</f>
        <v>-1.6678303241719423</v>
      </c>
      <c r="E82" s="163">
        <f>E22+(2/0.017)*(E8*E51+E23*E50)</f>
        <v>-57.673361022501695</v>
      </c>
      <c r="F82" s="163">
        <f>F22+(2/0.017)*(F8*F51+F23*F50)</f>
        <v>-123.24363331812994</v>
      </c>
    </row>
    <row r="83" spans="1:6" ht="12.75">
      <c r="A83" s="163" t="s">
        <v>175</v>
      </c>
      <c r="B83" s="163">
        <f>B23+(3/0.017)*(B9*B51+B24*B50)</f>
        <v>2.8556089880370292</v>
      </c>
      <c r="C83" s="163">
        <f>C23+(3/0.017)*(C9*C51+C24*C50)</f>
        <v>0.20663869649627367</v>
      </c>
      <c r="D83" s="163">
        <f>D23+(3/0.017)*(D9*D51+D24*D50)</f>
        <v>0.22297529831654347</v>
      </c>
      <c r="E83" s="163">
        <f>E23+(3/0.017)*(E9*E51+E24*E50)</f>
        <v>1.6020084919383548</v>
      </c>
      <c r="F83" s="163">
        <f>F23+(3/0.017)*(F9*F51+F24*F50)</f>
        <v>9.166033475992297</v>
      </c>
    </row>
    <row r="84" spans="1:6" ht="12.75">
      <c r="A84" s="163" t="s">
        <v>176</v>
      </c>
      <c r="B84" s="163">
        <f>B24+(4/0.017)*(B10*B51+B25*B50)</f>
        <v>0.3395183200591981</v>
      </c>
      <c r="C84" s="163">
        <f>C24+(4/0.017)*(C10*C51+C25*C50)</f>
        <v>-1.097090237288991</v>
      </c>
      <c r="D84" s="163">
        <f>D24+(4/0.017)*(D10*D51+D25*D50)</f>
        <v>-2.2752464699445962</v>
      </c>
      <c r="E84" s="163">
        <f>E24+(4/0.017)*(E10*E51+E25*E50)</f>
        <v>-1.5720363438981384</v>
      </c>
      <c r="F84" s="163">
        <f>F24+(4/0.017)*(F10*F51+F25*F50)</f>
        <v>0.12284627181521943</v>
      </c>
    </row>
    <row r="85" spans="1:6" ht="12.75">
      <c r="A85" s="163" t="s">
        <v>177</v>
      </c>
      <c r="B85" s="163">
        <f>B25+(5/0.017)*(B11*B51+B26*B50)</f>
        <v>0.5573838999746203</v>
      </c>
      <c r="C85" s="163">
        <f>C25+(5/0.017)*(C11*C51+C26*C50)</f>
        <v>-0.13110430712882765</v>
      </c>
      <c r="D85" s="163">
        <f>D25+(5/0.017)*(D11*D51+D26*D50)</f>
        <v>0.056508630036436025</v>
      </c>
      <c r="E85" s="163">
        <f>E25+(5/0.017)*(E11*E51+E26*E50)</f>
        <v>0.46229776545265</v>
      </c>
      <c r="F85" s="163">
        <f>F25+(5/0.017)*(F11*F51+F26*F50)</f>
        <v>-0.8705199880315286</v>
      </c>
    </row>
    <row r="86" spans="1:6" ht="12.75">
      <c r="A86" s="163" t="s">
        <v>178</v>
      </c>
      <c r="B86" s="163">
        <f>B26+(6/0.017)*(B12*B51+B27*B50)</f>
        <v>0.6259361572415639</v>
      </c>
      <c r="C86" s="163">
        <f>C26+(6/0.017)*(C12*C51+C27*C50)</f>
        <v>0.31385015576768166</v>
      </c>
      <c r="D86" s="163">
        <f>D26+(6/0.017)*(D12*D51+D27*D50)</f>
        <v>0.9125040945767979</v>
      </c>
      <c r="E86" s="163">
        <f>E26+(6/0.017)*(E12*E51+E27*E50)</f>
        <v>0.6008358261390979</v>
      </c>
      <c r="F86" s="163">
        <f>F26+(6/0.017)*(F12*F51+F27*F50)</f>
        <v>0.9148938229224526</v>
      </c>
    </row>
    <row r="87" spans="1:6" ht="12.75">
      <c r="A87" s="163" t="s">
        <v>179</v>
      </c>
      <c r="B87" s="163">
        <f>B27+(7/0.017)*(B13*B51+B28*B50)</f>
        <v>0.11054615367909769</v>
      </c>
      <c r="C87" s="163">
        <f>C27+(7/0.017)*(C13*C51+C28*C50)</f>
        <v>0.13724421554101893</v>
      </c>
      <c r="D87" s="163">
        <f>D27+(7/0.017)*(D13*D51+D28*D50)</f>
        <v>-0.14668522674871035</v>
      </c>
      <c r="E87" s="163">
        <f>E27+(7/0.017)*(E13*E51+E28*E50)</f>
        <v>-0.02551892228987662</v>
      </c>
      <c r="F87" s="163">
        <f>F27+(7/0.017)*(F13*F51+F28*F50)</f>
        <v>0.46243385499913103</v>
      </c>
    </row>
    <row r="88" spans="1:6" ht="12.75">
      <c r="A88" s="163" t="s">
        <v>180</v>
      </c>
      <c r="B88" s="163">
        <f>B28+(8/0.017)*(B14*B51+B29*B50)</f>
        <v>0.19175154159347768</v>
      </c>
      <c r="C88" s="163">
        <f>C28+(8/0.017)*(C14*C51+C29*C50)</f>
        <v>-0.02920384498378638</v>
      </c>
      <c r="D88" s="163">
        <f>D28+(8/0.017)*(D14*D51+D29*D50)</f>
        <v>-0.0689852239152503</v>
      </c>
      <c r="E88" s="163">
        <f>E28+(8/0.017)*(E14*E51+E29*E50)</f>
        <v>-0.00786844563093475</v>
      </c>
      <c r="F88" s="163">
        <f>F28+(8/0.017)*(F14*F51+F29*F50)</f>
        <v>-0.1147432825546562</v>
      </c>
    </row>
    <row r="89" spans="1:6" ht="12.75">
      <c r="A89" s="163" t="s">
        <v>181</v>
      </c>
      <c r="B89" s="163">
        <f>B29+(9/0.017)*(B15*B51+B30*B50)</f>
        <v>-0.00207319423363227</v>
      </c>
      <c r="C89" s="163">
        <f>C29+(9/0.017)*(C15*C51+C30*C50)</f>
        <v>-0.07881310561232446</v>
      </c>
      <c r="D89" s="163">
        <f>D29+(9/0.017)*(D15*D51+D30*D50)</f>
        <v>0.06198292541818162</v>
      </c>
      <c r="E89" s="163">
        <f>E29+(9/0.017)*(E15*E51+E30*E50)</f>
        <v>0.03969177000704795</v>
      </c>
      <c r="F89" s="163">
        <f>F29+(9/0.017)*(F15*F51+F30*F50)</f>
        <v>0.013634631576963374</v>
      </c>
    </row>
    <row r="90" spans="1:6" ht="12.75">
      <c r="A90" s="163" t="s">
        <v>182</v>
      </c>
      <c r="B90" s="163">
        <f>B30+(10/0.017)*(B16*B51+B31*B50)</f>
        <v>0.0898361338885565</v>
      </c>
      <c r="C90" s="163">
        <f>C30+(10/0.017)*(C16*C51+C31*C50)</f>
        <v>0.09719322050480596</v>
      </c>
      <c r="D90" s="163">
        <f>D30+(10/0.017)*(D16*D51+D31*D50)</f>
        <v>0.11658849592168173</v>
      </c>
      <c r="E90" s="163">
        <f>E30+(10/0.017)*(E16*E51+E31*E50)</f>
        <v>0.09563591315901109</v>
      </c>
      <c r="F90" s="163">
        <f>F30+(10/0.017)*(F16*F51+F31*F50)</f>
        <v>0.26798287934895315</v>
      </c>
    </row>
    <row r="91" spans="1:6" ht="12.75">
      <c r="A91" s="163" t="s">
        <v>183</v>
      </c>
      <c r="B91" s="163">
        <f>B31+(11/0.017)*(B17*B51+B32*B50)</f>
        <v>-0.01462978641610565</v>
      </c>
      <c r="C91" s="163">
        <f>C31+(11/0.017)*(C17*C51+C32*C50)</f>
        <v>-1.98800930248399E-05</v>
      </c>
      <c r="D91" s="163">
        <f>D31+(11/0.017)*(D17*D51+D32*D50)</f>
        <v>-0.011327985686273054</v>
      </c>
      <c r="E91" s="163">
        <f>E31+(11/0.017)*(E17*E51+E32*E50)</f>
        <v>-0.02564319479862001</v>
      </c>
      <c r="F91" s="163">
        <f>F31+(11/0.017)*(F17*F51+F32*F50)</f>
        <v>0.020092316865261695</v>
      </c>
    </row>
    <row r="92" spans="1:6" ht="12.75">
      <c r="A92" s="163" t="s">
        <v>184</v>
      </c>
      <c r="B92" s="163">
        <f>B32+(12/0.017)*(B18*B51+B33*B50)</f>
        <v>0.047092967309578224</v>
      </c>
      <c r="C92" s="163">
        <f>C32+(12/0.017)*(C18*C51+C33*C50)</f>
        <v>0.03479913125177908</v>
      </c>
      <c r="D92" s="163">
        <f>D32+(12/0.017)*(D18*D51+D33*D50)</f>
        <v>0.03619669712764051</v>
      </c>
      <c r="E92" s="163">
        <f>E32+(12/0.017)*(E18*E51+E33*E50)</f>
        <v>0.03495569493249764</v>
      </c>
      <c r="F92" s="163">
        <f>F32+(12/0.017)*(F18*F51+F33*F50)</f>
        <v>0.013435675031312391</v>
      </c>
    </row>
    <row r="93" spans="1:6" ht="12.75">
      <c r="A93" s="163" t="s">
        <v>185</v>
      </c>
      <c r="B93" s="163">
        <f>B33+(13/0.017)*(B19*B51+B34*B50)</f>
        <v>0.04347917637335002</v>
      </c>
      <c r="C93" s="163">
        <f>C33+(13/0.017)*(C19*C51+C34*C50)</f>
        <v>0.044628238886346705</v>
      </c>
      <c r="D93" s="163">
        <f>D33+(13/0.017)*(D19*D51+D34*D50)</f>
        <v>0.04336942892409816</v>
      </c>
      <c r="E93" s="163">
        <f>E33+(13/0.017)*(E19*E51+E34*E50)</f>
        <v>0.04003409421766813</v>
      </c>
      <c r="F93" s="163">
        <f>F33+(13/0.017)*(F19*F51+F34*F50)</f>
        <v>0.02353459510072769</v>
      </c>
    </row>
    <row r="94" spans="1:6" ht="12.75">
      <c r="A94" s="163" t="s">
        <v>186</v>
      </c>
      <c r="B94" s="163">
        <f>B34+(14/0.017)*(B20*B51+B35*B50)</f>
        <v>0.0023495352118373795</v>
      </c>
      <c r="C94" s="163">
        <f>C34+(14/0.017)*(C20*C51+C35*C50)</f>
        <v>0.018574473541036637</v>
      </c>
      <c r="D94" s="163">
        <f>D34+(14/0.017)*(D20*D51+D35*D50)</f>
        <v>0.024814934109176966</v>
      </c>
      <c r="E94" s="163">
        <f>E34+(14/0.017)*(E20*E51+E35*E50)</f>
        <v>0.03204526939304704</v>
      </c>
      <c r="F94" s="163">
        <f>F34+(14/0.017)*(F20*F51+F35*F50)</f>
        <v>-0.008399575725031179</v>
      </c>
    </row>
    <row r="95" spans="1:6" ht="12.75">
      <c r="A95" s="163" t="s">
        <v>187</v>
      </c>
      <c r="B95" s="164">
        <f>B35</f>
        <v>0.0003025681</v>
      </c>
      <c r="C95" s="164">
        <f>C35</f>
        <v>-0.002035504</v>
      </c>
      <c r="D95" s="164">
        <f>D35</f>
        <v>0.002716573</v>
      </c>
      <c r="E95" s="164">
        <f>E35</f>
        <v>-0.000325761</v>
      </c>
      <c r="F95" s="164">
        <f>F35</f>
        <v>0.007420667</v>
      </c>
    </row>
    <row r="98" ht="12.75">
      <c r="A98" s="163" t="s">
        <v>155</v>
      </c>
    </row>
    <row r="100" spans="2:11" ht="12.75">
      <c r="B100" s="163" t="s">
        <v>83</v>
      </c>
      <c r="C100" s="163" t="s">
        <v>84</v>
      </c>
      <c r="D100" s="163" t="s">
        <v>85</v>
      </c>
      <c r="E100" s="163" t="s">
        <v>86</v>
      </c>
      <c r="F100" s="163" t="s">
        <v>87</v>
      </c>
      <c r="G100" s="163" t="s">
        <v>157</v>
      </c>
      <c r="H100" s="163" t="s">
        <v>158</v>
      </c>
      <c r="I100" s="163" t="s">
        <v>153</v>
      </c>
      <c r="K100" s="163" t="s">
        <v>188</v>
      </c>
    </row>
    <row r="101" spans="1:9" ht="12.75">
      <c r="A101" s="163" t="s">
        <v>156</v>
      </c>
      <c r="B101" s="163">
        <f>B61*10000/B62</f>
        <v>0</v>
      </c>
      <c r="C101" s="163">
        <f>C61*10000/C62</f>
        <v>0</v>
      </c>
      <c r="D101" s="163">
        <f>D61*10000/D62</f>
        <v>0</v>
      </c>
      <c r="E101" s="163">
        <f>E61*10000/E62</f>
        <v>0</v>
      </c>
      <c r="F101" s="163">
        <f>F61*10000/F62</f>
        <v>0</v>
      </c>
      <c r="G101" s="163">
        <f>AVERAGE(C101:E101)</f>
        <v>0</v>
      </c>
      <c r="H101" s="163">
        <f>STDEV(C101:E101)</f>
        <v>0</v>
      </c>
      <c r="I101" s="163">
        <f>(B101*B4+C101*C4+D101*D4+E101*E4+F101*F4)/SUM(B4:F4)</f>
        <v>0</v>
      </c>
    </row>
    <row r="102" spans="1:9" ht="12.75">
      <c r="A102" s="163" t="s">
        <v>159</v>
      </c>
      <c r="B102" s="163">
        <f>B62*10000/B62</f>
        <v>10000</v>
      </c>
      <c r="C102" s="163">
        <f>C62*10000/C62</f>
        <v>10000</v>
      </c>
      <c r="D102" s="163">
        <f>D62*10000/D62</f>
        <v>10000</v>
      </c>
      <c r="E102" s="163">
        <f>E62*10000/E62</f>
        <v>10000</v>
      </c>
      <c r="F102" s="163">
        <f>F62*10000/F62</f>
        <v>10000</v>
      </c>
      <c r="G102" s="163">
        <f>AVERAGE(C102:E102)</f>
        <v>10000</v>
      </c>
      <c r="H102" s="163">
        <f>STDEV(C102:E102)</f>
        <v>0</v>
      </c>
      <c r="I102" s="163">
        <f>(B102*B4+C102*C4+D102*D4+E102*E4+F102*F4)/SUM(B4:F4)</f>
        <v>9999.999999999998</v>
      </c>
    </row>
    <row r="103" spans="1:11" ht="12.75">
      <c r="A103" s="163" t="s">
        <v>160</v>
      </c>
      <c r="B103" s="163">
        <f>B63*10000/B62</f>
        <v>2.7261928963012845</v>
      </c>
      <c r="C103" s="163">
        <f>C63*10000/C62</f>
        <v>2.3470100587640546</v>
      </c>
      <c r="D103" s="163">
        <f>D63*10000/D62</f>
        <v>1.0636729464504115</v>
      </c>
      <c r="E103" s="163">
        <f>E63*10000/E62</f>
        <v>1.6173031236584579</v>
      </c>
      <c r="F103" s="163">
        <f>F63*10000/F62</f>
        <v>-1.7017925521757737</v>
      </c>
      <c r="G103" s="163">
        <f>AVERAGE(C103:E103)</f>
        <v>1.6759953762909745</v>
      </c>
      <c r="H103" s="163">
        <f>STDEV(C103:E103)</f>
        <v>0.6436785854366219</v>
      </c>
      <c r="I103" s="163">
        <f>(B103*B4+C103*C4+D103*D4+E103*E4+F103*F4)/SUM(B4:F4)</f>
        <v>1.376900422099522</v>
      </c>
      <c r="K103" s="163">
        <f>(LN(H103)+LN(H123))/2-LN(K114*K115^3)</f>
        <v>-4.209810985946637</v>
      </c>
    </row>
    <row r="104" spans="1:11" ht="12.75">
      <c r="A104" s="163" t="s">
        <v>161</v>
      </c>
      <c r="B104" s="163">
        <f>B64*10000/B62</f>
        <v>0.164601831925683</v>
      </c>
      <c r="C104" s="163">
        <f>C64*10000/C62</f>
        <v>-0.16476847278921974</v>
      </c>
      <c r="D104" s="163">
        <f>D64*10000/D62</f>
        <v>-0.037379900444447625</v>
      </c>
      <c r="E104" s="163">
        <f>E64*10000/E62</f>
        <v>0.08752573611902778</v>
      </c>
      <c r="F104" s="163">
        <f>F64*10000/F62</f>
        <v>-1.286564701997101</v>
      </c>
      <c r="G104" s="163">
        <f>AVERAGE(C104:E104)</f>
        <v>-0.03820754570487986</v>
      </c>
      <c r="H104" s="163">
        <f>STDEV(C104:E104)</f>
        <v>0.1261491407409002</v>
      </c>
      <c r="I104" s="163">
        <f>(B104*B4+C104*C4+D104*D4+E104*E4+F104*F4)/SUM(B4:F4)</f>
        <v>-0.17555112464227873</v>
      </c>
      <c r="K104" s="163">
        <f>(LN(H104)+LN(H124))/2-LN(K114*K115^4)</f>
        <v>-4.583872485681315</v>
      </c>
    </row>
    <row r="105" spans="1:11" ht="12.75">
      <c r="A105" s="163" t="s">
        <v>162</v>
      </c>
      <c r="B105" s="163">
        <f>B65*10000/B62</f>
        <v>-0.524245918250852</v>
      </c>
      <c r="C105" s="163">
        <f>C65*10000/C62</f>
        <v>-0.2922411894378175</v>
      </c>
      <c r="D105" s="163">
        <f>D65*10000/D62</f>
        <v>0.549695067467504</v>
      </c>
      <c r="E105" s="163">
        <f>E65*10000/E62</f>
        <v>0.0314520753038424</v>
      </c>
      <c r="F105" s="163">
        <f>F65*10000/F62</f>
        <v>-0.3414392412133038</v>
      </c>
      <c r="G105" s="163">
        <f>AVERAGE(C105:E105)</f>
        <v>0.09630198444450962</v>
      </c>
      <c r="H105" s="163">
        <f>STDEV(C105:E105)</f>
        <v>0.4246978905170127</v>
      </c>
      <c r="I105" s="163">
        <f>(B105*B4+C105*C4+D105*D4+E105*E4+F105*F4)/SUM(B4:F4)</f>
        <v>-0.05189943666347715</v>
      </c>
      <c r="K105" s="163">
        <f>(LN(H105)+LN(H125))/2-LN(K114*K115^5)</f>
        <v>-3.7206097081122396</v>
      </c>
    </row>
    <row r="106" spans="1:11" ht="12.75">
      <c r="A106" s="163" t="s">
        <v>163</v>
      </c>
      <c r="B106" s="163">
        <f>B66*10000/B62</f>
        <v>4.540314755115845</v>
      </c>
      <c r="C106" s="163">
        <f>C66*10000/C62</f>
        <v>3.9842274332101497</v>
      </c>
      <c r="D106" s="163">
        <f>D66*10000/D62</f>
        <v>3.688028572956516</v>
      </c>
      <c r="E106" s="163">
        <f>E66*10000/E62</f>
        <v>4.235733572376136</v>
      </c>
      <c r="F106" s="163">
        <f>F66*10000/F62</f>
        <v>15.018468089033608</v>
      </c>
      <c r="G106" s="163">
        <f>AVERAGE(C106:E106)</f>
        <v>3.9693298595142674</v>
      </c>
      <c r="H106" s="163">
        <f>STDEV(C106:E106)</f>
        <v>0.27415624171962666</v>
      </c>
      <c r="I106" s="163">
        <f>(B106*B4+C106*C4+D106*D4+E106*E4+F106*F4)/SUM(B4:F4)</f>
        <v>5.527170957342451</v>
      </c>
      <c r="K106" s="163">
        <f>(LN(H106)+LN(H126))/2-LN(K114*K115^6)</f>
        <v>-3.354608340062532</v>
      </c>
    </row>
    <row r="107" spans="1:11" ht="12.75">
      <c r="A107" s="163" t="s">
        <v>164</v>
      </c>
      <c r="B107" s="163">
        <f>B67*10000/B62</f>
        <v>0.08452929900670408</v>
      </c>
      <c r="C107" s="163">
        <f>C67*10000/C62</f>
        <v>0.21450282712607355</v>
      </c>
      <c r="D107" s="163">
        <f>D67*10000/D62</f>
        <v>0.35371536026608497</v>
      </c>
      <c r="E107" s="163">
        <f>E67*10000/E62</f>
        <v>0.14366618636252912</v>
      </c>
      <c r="F107" s="163">
        <f>F67*10000/F62</f>
        <v>-0.35731770989562617</v>
      </c>
      <c r="G107" s="163">
        <f>AVERAGE(C107:E107)</f>
        <v>0.23729479125156258</v>
      </c>
      <c r="H107" s="163">
        <f>STDEV(C107:E107)</f>
        <v>0.10686331964670907</v>
      </c>
      <c r="I107" s="163">
        <f>(B107*B4+C107*C4+D107*D4+E107*E4+F107*F4)/SUM(B4:F4)</f>
        <v>0.1358077430107781</v>
      </c>
      <c r="K107" s="163">
        <f>(LN(H107)+LN(H127))/2-LN(K114*K115^7)</f>
        <v>-3.605707704567041</v>
      </c>
    </row>
    <row r="108" spans="1:9" ht="12.75">
      <c r="A108" s="163" t="s">
        <v>165</v>
      </c>
      <c r="B108" s="163">
        <f>B68*10000/B62</f>
        <v>0.10238932926281455</v>
      </c>
      <c r="C108" s="163">
        <f>C68*10000/C62</f>
        <v>-0.10948504426085655</v>
      </c>
      <c r="D108" s="163">
        <f>D68*10000/D62</f>
        <v>0.027439785602288047</v>
      </c>
      <c r="E108" s="163">
        <f>E68*10000/E62</f>
        <v>-0.018577856655071</v>
      </c>
      <c r="F108" s="163">
        <f>F68*10000/F62</f>
        <v>-0.11315378649667233</v>
      </c>
      <c r="G108" s="163">
        <f>AVERAGE(C108:E108)</f>
        <v>-0.03354103843787983</v>
      </c>
      <c r="H108" s="163">
        <f>STDEV(C108:E108)</f>
        <v>0.06967800847514093</v>
      </c>
      <c r="I108" s="163">
        <f>(B108*B4+C108*C4+D108*D4+E108*E4+F108*F4)/SUM(B4:F4)</f>
        <v>-0.024509947565647235</v>
      </c>
    </row>
    <row r="109" spans="1:9" ht="12.75">
      <c r="A109" s="163" t="s">
        <v>166</v>
      </c>
      <c r="B109" s="163">
        <f>B69*10000/B62</f>
        <v>-0.0939111034632048</v>
      </c>
      <c r="C109" s="163">
        <f>C69*10000/C62</f>
        <v>-0.0038450247213092587</v>
      </c>
      <c r="D109" s="163">
        <f>D69*10000/D62</f>
        <v>0.04176759409197171</v>
      </c>
      <c r="E109" s="163">
        <f>E69*10000/E62</f>
        <v>-0.05043304648317938</v>
      </c>
      <c r="F109" s="163">
        <f>F69*10000/F62</f>
        <v>-0.045130397186147926</v>
      </c>
      <c r="G109" s="163">
        <f>AVERAGE(C109:E109)</f>
        <v>-0.0041701590375056415</v>
      </c>
      <c r="H109" s="163">
        <f>STDEV(C109:E109)</f>
        <v>0.04610118018944554</v>
      </c>
      <c r="I109" s="163">
        <f>(B109*B4+C109*C4+D109*D4+E109*E4+F109*F4)/SUM(B4:F4)</f>
        <v>-0.022619088041912504</v>
      </c>
    </row>
    <row r="110" spans="1:11" ht="12.75">
      <c r="A110" s="163" t="s">
        <v>167</v>
      </c>
      <c r="B110" s="163">
        <f>B70*10000/B62</f>
        <v>-0.2702466300350687</v>
      </c>
      <c r="C110" s="163">
        <f>C70*10000/C62</f>
        <v>-0.005210644883876927</v>
      </c>
      <c r="D110" s="163">
        <f>D70*10000/D62</f>
        <v>-0.0073099669237242735</v>
      </c>
      <c r="E110" s="163">
        <f>E70*10000/E62</f>
        <v>0.022854235131840425</v>
      </c>
      <c r="F110" s="163">
        <f>F70*10000/F62</f>
        <v>-0.2895926004628113</v>
      </c>
      <c r="G110" s="163">
        <f>AVERAGE(C110:E110)</f>
        <v>0.0034445411080797415</v>
      </c>
      <c r="H110" s="163">
        <f>STDEV(C110:E110)</f>
        <v>0.01684202941538684</v>
      </c>
      <c r="I110" s="163">
        <f>(B110*B4+C110*C4+D110*D4+E110*E4+F110*F4)/SUM(B4:F4)</f>
        <v>-0.07526742071467835</v>
      </c>
      <c r="K110" s="163">
        <f>EXP(AVERAGE(K103:K107))</f>
        <v>0.020344964450287484</v>
      </c>
    </row>
    <row r="111" spans="1:9" ht="12.75">
      <c r="A111" s="163" t="s">
        <v>168</v>
      </c>
      <c r="B111" s="163">
        <f>B71*10000/B62</f>
        <v>0.0016303346435696685</v>
      </c>
      <c r="C111" s="163">
        <f>C71*10000/C62</f>
        <v>0.006899992679518791</v>
      </c>
      <c r="D111" s="163">
        <f>D71*10000/D62</f>
        <v>0.02210452714928595</v>
      </c>
      <c r="E111" s="163">
        <f>E71*10000/E62</f>
        <v>0.015105721054402383</v>
      </c>
      <c r="F111" s="163">
        <f>F71*10000/F62</f>
        <v>-0.0032999114990482164</v>
      </c>
      <c r="G111" s="163">
        <f>AVERAGE(C111:E111)</f>
        <v>0.014703413627735707</v>
      </c>
      <c r="H111" s="163">
        <f>STDEV(C111:E111)</f>
        <v>0.00761024674762572</v>
      </c>
      <c r="I111" s="163">
        <f>(B111*B4+C111*C4+D111*D4+E111*E4+F111*F4)/SUM(B4:F4)</f>
        <v>0.010408779145689948</v>
      </c>
    </row>
    <row r="112" spans="1:9" ht="12.75">
      <c r="A112" s="163" t="s">
        <v>169</v>
      </c>
      <c r="B112" s="163">
        <f>B72*10000/B62</f>
        <v>-0.011795460959801954</v>
      </c>
      <c r="C112" s="163">
        <f>C72*10000/C62</f>
        <v>-0.0035583717227352695</v>
      </c>
      <c r="D112" s="163">
        <f>D72*10000/D62</f>
        <v>-0.001024168678852143</v>
      </c>
      <c r="E112" s="163">
        <f>E72*10000/E62</f>
        <v>-0.004138397117079082</v>
      </c>
      <c r="F112" s="163">
        <f>F72*10000/F62</f>
        <v>-0.03288609846586773</v>
      </c>
      <c r="G112" s="163">
        <f>AVERAGE(C112:E112)</f>
        <v>-0.002906979172888831</v>
      </c>
      <c r="H112" s="163">
        <f>STDEV(C112:E112)</f>
        <v>0.001656151829350781</v>
      </c>
      <c r="I112" s="163">
        <f>(B112*B4+C112*C4+D112*D4+E112*E4+F112*F4)/SUM(B4:F4)</f>
        <v>-0.008195338313546565</v>
      </c>
    </row>
    <row r="113" spans="1:9" ht="12.75">
      <c r="A113" s="163" t="s">
        <v>170</v>
      </c>
      <c r="B113" s="163">
        <f>B73*10000/B62</f>
        <v>0.02438983441275757</v>
      </c>
      <c r="C113" s="163">
        <f>C73*10000/C62</f>
        <v>0.022643243384651953</v>
      </c>
      <c r="D113" s="163">
        <f>D73*10000/D62</f>
        <v>0.01677760844766323</v>
      </c>
      <c r="E113" s="163">
        <f>E73*10000/E62</f>
        <v>0.02454864974832031</v>
      </c>
      <c r="F113" s="163">
        <f>F73*10000/F62</f>
        <v>-0.0004775955959949856</v>
      </c>
      <c r="G113" s="163">
        <f>AVERAGE(C113:E113)</f>
        <v>0.021323167193545167</v>
      </c>
      <c r="H113" s="163">
        <f>STDEV(C113:E113)</f>
        <v>0.0040502125360127395</v>
      </c>
      <c r="I113" s="163">
        <f>(B113*B4+C113*C4+D113*D4+E113*E4+F113*F4)/SUM(B4:F4)</f>
        <v>0.01885594020263188</v>
      </c>
    </row>
    <row r="114" spans="1:11" ht="12.75">
      <c r="A114" s="163" t="s">
        <v>171</v>
      </c>
      <c r="B114" s="163">
        <f>B74*10000/B62</f>
        <v>-0.20299569620951283</v>
      </c>
      <c r="C114" s="163">
        <f>C74*10000/C62</f>
        <v>-0.17939269006764527</v>
      </c>
      <c r="D114" s="163">
        <f>D74*10000/D62</f>
        <v>-0.17212931808773008</v>
      </c>
      <c r="E114" s="163">
        <f>E74*10000/E62</f>
        <v>-0.18249139223066183</v>
      </c>
      <c r="F114" s="163">
        <f>F74*10000/F62</f>
        <v>-0.14385828745787435</v>
      </c>
      <c r="G114" s="163">
        <f>AVERAGE(C114:E114)</f>
        <v>-0.17800446679534573</v>
      </c>
      <c r="H114" s="163">
        <f>STDEV(C114:E114)</f>
        <v>0.005318695143192591</v>
      </c>
      <c r="I114" s="163">
        <f>(B114*B4+C114*C4+D114*D4+E114*E4+F114*F4)/SUM(B4:F4)</f>
        <v>-0.17706004995926625</v>
      </c>
      <c r="J114" s="163" t="s">
        <v>189</v>
      </c>
      <c r="K114" s="163">
        <v>285</v>
      </c>
    </row>
    <row r="115" spans="1:11" ht="12.75">
      <c r="A115" s="163" t="s">
        <v>172</v>
      </c>
      <c r="B115" s="163">
        <f>B75*10000/B62</f>
        <v>-0.0014734947098098401</v>
      </c>
      <c r="C115" s="163">
        <f>C75*10000/C62</f>
        <v>-0.0021009737134059254</v>
      </c>
      <c r="D115" s="163">
        <f>D75*10000/D62</f>
        <v>-0.0032020159849615692</v>
      </c>
      <c r="E115" s="163">
        <f>E75*10000/E62</f>
        <v>5.396012670629812E-05</v>
      </c>
      <c r="F115" s="163">
        <f>F75*10000/F62</f>
        <v>0.004468856097600379</v>
      </c>
      <c r="G115" s="163">
        <f>AVERAGE(C115:E115)</f>
        <v>-0.0017496765238870658</v>
      </c>
      <c r="H115" s="163">
        <f>STDEV(C115:E115)</f>
        <v>0.001656171004594887</v>
      </c>
      <c r="I115" s="163">
        <f>(B115*B4+C115*C4+D115*D4+E115*E4+F115*F4)/SUM(B4:F4)</f>
        <v>-0.0008794463016896382</v>
      </c>
      <c r="J115" s="163" t="s">
        <v>190</v>
      </c>
      <c r="K115" s="163">
        <v>0.5536</v>
      </c>
    </row>
    <row r="118" ht="12.75">
      <c r="A118" s="163" t="s">
        <v>155</v>
      </c>
    </row>
    <row r="120" spans="2:9" ht="12.75">
      <c r="B120" s="163" t="s">
        <v>83</v>
      </c>
      <c r="C120" s="163" t="s">
        <v>84</v>
      </c>
      <c r="D120" s="163" t="s">
        <v>85</v>
      </c>
      <c r="E120" s="163" t="s">
        <v>86</v>
      </c>
      <c r="F120" s="163" t="s">
        <v>87</v>
      </c>
      <c r="G120" s="163" t="s">
        <v>157</v>
      </c>
      <c r="H120" s="163" t="s">
        <v>158</v>
      </c>
      <c r="I120" s="163" t="s">
        <v>153</v>
      </c>
    </row>
    <row r="121" spans="1:9" ht="12.75">
      <c r="A121" s="163" t="s">
        <v>173</v>
      </c>
      <c r="B121" s="163">
        <f>B81*10000/B62</f>
        <v>0</v>
      </c>
      <c r="C121" s="163">
        <f>C81*10000/C62</f>
        <v>0</v>
      </c>
      <c r="D121" s="163">
        <f>D81*10000/D62</f>
        <v>0</v>
      </c>
      <c r="E121" s="163">
        <f>E81*10000/E62</f>
        <v>0</v>
      </c>
      <c r="F121" s="163">
        <f>F81*10000/F62</f>
        <v>0</v>
      </c>
      <c r="G121" s="163">
        <f>AVERAGE(C121:E121)</f>
        <v>0</v>
      </c>
      <c r="H121" s="163">
        <f>STDEV(C121:E121)</f>
        <v>0</v>
      </c>
      <c r="I121" s="163">
        <f>(B121*B4+C121*C4+D121*D4+E121*E4+F121*F4)/SUM(B4:F4)</f>
        <v>0</v>
      </c>
    </row>
    <row r="122" spans="1:9" ht="12.75">
      <c r="A122" s="163" t="s">
        <v>174</v>
      </c>
      <c r="B122" s="163">
        <f>B82*10000/B62</f>
        <v>125.53985611496174</v>
      </c>
      <c r="C122" s="163">
        <f>C82*10000/C62</f>
        <v>52.91175629279197</v>
      </c>
      <c r="D122" s="163">
        <f>D82*10000/D62</f>
        <v>-1.6678297954702288</v>
      </c>
      <c r="E122" s="163">
        <f>E82*10000/E62</f>
        <v>-57.67338956659211</v>
      </c>
      <c r="F122" s="163">
        <f>F82*10000/F62</f>
        <v>-123.24697307943975</v>
      </c>
      <c r="G122" s="163">
        <f>AVERAGE(C122:E122)</f>
        <v>-2.143154356423454</v>
      </c>
      <c r="H122" s="163">
        <f>STDEV(C122:E122)</f>
        <v>55.294105212617346</v>
      </c>
      <c r="I122" s="163">
        <f>(B122*B4+C122*C4+D122*D4+E122*E4+F122*F4)/SUM(B4:F4)</f>
        <v>0.1552605364096472</v>
      </c>
    </row>
    <row r="123" spans="1:9" ht="12.75">
      <c r="A123" s="163" t="s">
        <v>175</v>
      </c>
      <c r="B123" s="163">
        <f>B83*10000/B62</f>
        <v>2.8556239296023604</v>
      </c>
      <c r="C123" s="163">
        <f>C83*10000/C62</f>
        <v>0.20663856995496666</v>
      </c>
      <c r="D123" s="163">
        <f>D83*10000/D62</f>
        <v>0.22297522763344063</v>
      </c>
      <c r="E123" s="163">
        <f>E83*10000/E62</f>
        <v>1.6020092848152467</v>
      </c>
      <c r="F123" s="163">
        <f>F83*10000/F62</f>
        <v>9.166281865001478</v>
      </c>
      <c r="G123" s="163">
        <f>AVERAGE(C123:E123)</f>
        <v>0.6772076941345513</v>
      </c>
      <c r="H123" s="163">
        <f>STDEV(C123:E123)</f>
        <v>0.8009433239563113</v>
      </c>
      <c r="I123" s="163">
        <f>(B123*B4+C123*C4+D123*D4+E123*E4+F123*F4)/SUM(B4:F4)</f>
        <v>2.1257319666141843</v>
      </c>
    </row>
    <row r="124" spans="1:9" ht="12.75">
      <c r="A124" s="163" t="s">
        <v>176</v>
      </c>
      <c r="B124" s="163">
        <f>B84*10000/B62</f>
        <v>0.3395200965402155</v>
      </c>
      <c r="C124" s="163">
        <f>C84*10000/C62</f>
        <v>-1.0970895654533914</v>
      </c>
      <c r="D124" s="163">
        <f>D84*10000/D62</f>
        <v>-2.275245748692146</v>
      </c>
      <c r="E124" s="163">
        <f>E84*10000/E62</f>
        <v>-1.5720371219410119</v>
      </c>
      <c r="F124" s="163">
        <f>F84*10000/F62</f>
        <v>0.12284960080848763</v>
      </c>
      <c r="G124" s="163">
        <f>AVERAGE(C124:E124)</f>
        <v>-1.648124145362183</v>
      </c>
      <c r="H124" s="163">
        <f>STDEV(C124:E124)</f>
        <v>0.5927519923001087</v>
      </c>
      <c r="I124" s="163">
        <f>(B124*B4+C124*C4+D124*D4+E124*E4+F124*F4)/SUM(B4:F4)</f>
        <v>-1.1241776285791487</v>
      </c>
    </row>
    <row r="125" spans="1:9" ht="12.75">
      <c r="A125" s="163" t="s">
        <v>177</v>
      </c>
      <c r="B125" s="163">
        <f>B85*10000/B62</f>
        <v>0.5573868164061034</v>
      </c>
      <c r="C125" s="163">
        <f>C85*10000/C62</f>
        <v>-0.1311042268432342</v>
      </c>
      <c r="D125" s="163">
        <f>D85*10000/D62</f>
        <v>0.056508612123217214</v>
      </c>
      <c r="E125" s="163">
        <f>E85*10000/E62</f>
        <v>0.4622979942561909</v>
      </c>
      <c r="F125" s="163">
        <f>F85*10000/F62</f>
        <v>-0.8705435781261824</v>
      </c>
      <c r="G125" s="163">
        <f>AVERAGE(C125:E125)</f>
        <v>0.12923412651205798</v>
      </c>
      <c r="H125" s="163">
        <f>STDEV(C125:E125)</f>
        <v>0.30331221428385285</v>
      </c>
      <c r="I125" s="163">
        <f>(B125*B4+C125*C4+D125*D4+E125*E4+F125*F4)/SUM(B4:F4)</f>
        <v>0.05767365207955456</v>
      </c>
    </row>
    <row r="126" spans="1:9" ht="12.75">
      <c r="A126" s="163" t="s">
        <v>178</v>
      </c>
      <c r="B126" s="163">
        <f>B86*10000/B62</f>
        <v>0.6259394323629218</v>
      </c>
      <c r="C126" s="163">
        <f>C86*10000/C62</f>
        <v>0.313849963572272</v>
      </c>
      <c r="D126" s="163">
        <f>D86*10000/D62</f>
        <v>0.9125038053132731</v>
      </c>
      <c r="E126" s="163">
        <f>E86*10000/E62</f>
        <v>0.600836123508834</v>
      </c>
      <c r="F126" s="163">
        <f>F86*10000/F62</f>
        <v>0.9149186154972099</v>
      </c>
      <c r="G126" s="163">
        <f>AVERAGE(C126:E126)</f>
        <v>0.609063297464793</v>
      </c>
      <c r="H126" s="163">
        <f>STDEV(C126:E126)</f>
        <v>0.2994117071046006</v>
      </c>
      <c r="I126" s="163">
        <f>(B126*B4+C126*C4+D126*D4+E126*E4+F126*F4)/SUM(B4:F4)</f>
        <v>0.6523413123191334</v>
      </c>
    </row>
    <row r="127" spans="1:9" ht="12.75">
      <c r="A127" s="163" t="s">
        <v>179</v>
      </c>
      <c r="B127" s="163">
        <f>B87*10000/B62</f>
        <v>0.11054673209602531</v>
      </c>
      <c r="C127" s="163">
        <f>C87*10000/C62</f>
        <v>0.13724413149547127</v>
      </c>
      <c r="D127" s="163">
        <f>D87*10000/D62</f>
        <v>-0.1466851802495374</v>
      </c>
      <c r="E127" s="163">
        <f>E87*10000/E62</f>
        <v>-0.025518934919874458</v>
      </c>
      <c r="F127" s="163">
        <f>F87*10000/F62</f>
        <v>0.4624463864269679</v>
      </c>
      <c r="G127" s="163">
        <f>AVERAGE(C127:E127)</f>
        <v>-0.011653327891313528</v>
      </c>
      <c r="H127" s="163">
        <f>STDEV(C127:E127)</f>
        <v>0.14247159299559137</v>
      </c>
      <c r="I127" s="163">
        <f>(B127*B4+C127*C4+D127*D4+E127*E4+F127*F4)/SUM(B4:F4)</f>
        <v>0.06932219548298468</v>
      </c>
    </row>
    <row r="128" spans="1:9" ht="12.75">
      <c r="A128" s="163" t="s">
        <v>180</v>
      </c>
      <c r="B128" s="163">
        <f>B88*10000/B62</f>
        <v>0.19175254490597535</v>
      </c>
      <c r="C128" s="163">
        <f>C88*10000/C62</f>
        <v>-0.029203827099949627</v>
      </c>
      <c r="D128" s="163">
        <f>D88*10000/D62</f>
        <v>-0.06898520204695496</v>
      </c>
      <c r="E128" s="163">
        <f>E88*10000/E62</f>
        <v>-0.007868449525239149</v>
      </c>
      <c r="F128" s="163">
        <f>F88*10000/F62</f>
        <v>-0.11474639196619595</v>
      </c>
      <c r="G128" s="163">
        <f>AVERAGE(C128:E128)</f>
        <v>-0.03535249289071458</v>
      </c>
      <c r="H128" s="163">
        <f>STDEV(C128:E128)</f>
        <v>0.031018847946934727</v>
      </c>
      <c r="I128" s="163">
        <f>(B128*B4+C128*C4+D128*D4+E128*E4+F128*F4)/SUM(B4:F4)</f>
        <v>-0.013104793825223608</v>
      </c>
    </row>
    <row r="129" spans="1:9" ht="12.75">
      <c r="A129" s="163" t="s">
        <v>181</v>
      </c>
      <c r="B129" s="163">
        <f>B89*10000/B62</f>
        <v>-0.0020732050813243794</v>
      </c>
      <c r="C129" s="163">
        <f>C89*10000/C62</f>
        <v>-0.07881305734879221</v>
      </c>
      <c r="D129" s="163">
        <f>D89*10000/D62</f>
        <v>0.06198290576961281</v>
      </c>
      <c r="E129" s="163">
        <f>E89*10000/E62</f>
        <v>0.039691789651567555</v>
      </c>
      <c r="F129" s="163">
        <f>F89*10000/F62</f>
        <v>0.013635001059863127</v>
      </c>
      <c r="G129" s="163">
        <f>AVERAGE(C129:E129)</f>
        <v>0.007620546024129385</v>
      </c>
      <c r="H129" s="163">
        <f>STDEV(C129:E129)</f>
        <v>0.07567892248484835</v>
      </c>
      <c r="I129" s="163">
        <f>(B129*B4+C129*C4+D129*D4+E129*E4+F129*F4)/SUM(B4:F4)</f>
        <v>0.0070214899121435245</v>
      </c>
    </row>
    <row r="130" spans="1:9" ht="12.75">
      <c r="A130" s="163" t="s">
        <v>182</v>
      </c>
      <c r="B130" s="163">
        <f>B90*10000/B62</f>
        <v>0.08983660394326962</v>
      </c>
      <c r="C130" s="163">
        <f>C90*10000/C62</f>
        <v>0.09719316098566766</v>
      </c>
      <c r="D130" s="163">
        <f>D90*10000/D62</f>
        <v>0.11658845896316343</v>
      </c>
      <c r="E130" s="163">
        <f>E90*10000/E62</f>
        <v>0.0956359604917849</v>
      </c>
      <c r="F130" s="163">
        <f>F90*10000/F62</f>
        <v>0.26799014137805804</v>
      </c>
      <c r="G130" s="163">
        <f>AVERAGE(C130:E130)</f>
        <v>0.10313919348020534</v>
      </c>
      <c r="H130" s="163">
        <f>STDEV(C130:E130)</f>
        <v>0.011673400313013026</v>
      </c>
      <c r="I130" s="163">
        <f>(B130*B4+C130*C4+D130*D4+E130*E4+F130*F4)/SUM(B4:F4)</f>
        <v>0.12322562908869944</v>
      </c>
    </row>
    <row r="131" spans="1:9" ht="12.75">
      <c r="A131" s="163" t="s">
        <v>183</v>
      </c>
      <c r="B131" s="163">
        <f>B91*10000/B62</f>
        <v>-0.01462986296436924</v>
      </c>
      <c r="C131" s="163">
        <f>C91*10000/C62</f>
        <v>-1.9880080850677955E-05</v>
      </c>
      <c r="D131" s="163">
        <f>D91*10000/D62</f>
        <v>-0.011327982095304981</v>
      </c>
      <c r="E131" s="163">
        <f>E91*10000/E62</f>
        <v>-0.02564320749012364</v>
      </c>
      <c r="F131" s="163">
        <f>F91*10000/F62</f>
        <v>0.02009286134403666</v>
      </c>
      <c r="G131" s="163">
        <f>AVERAGE(C131:E131)</f>
        <v>-0.012330356555426433</v>
      </c>
      <c r="H131" s="163">
        <f>STDEV(C131:E131)</f>
        <v>0.012841039397160482</v>
      </c>
      <c r="I131" s="163">
        <f>(B131*B4+C131*C4+D131*D4+E131*E4+F131*F4)/SUM(B4:F4)</f>
        <v>-0.008333883544558374</v>
      </c>
    </row>
    <row r="132" spans="1:9" ht="12.75">
      <c r="A132" s="163" t="s">
        <v>184</v>
      </c>
      <c r="B132" s="163">
        <f>B92*10000/B62</f>
        <v>0.047093213716789664</v>
      </c>
      <c r="C132" s="163">
        <f>C92*10000/C62</f>
        <v>0.03479910994150358</v>
      </c>
      <c r="D132" s="163">
        <f>D92*10000/D62</f>
        <v>0.03619668565329835</v>
      </c>
      <c r="E132" s="163">
        <f>E92*10000/E62</f>
        <v>0.0349557122330069</v>
      </c>
      <c r="F132" s="163">
        <f>F92*10000/F62</f>
        <v>0.013436039122717626</v>
      </c>
      <c r="G132" s="163">
        <f>AVERAGE(C132:E132)</f>
        <v>0.035317169275936276</v>
      </c>
      <c r="H132" s="163">
        <f>STDEV(C132:E132)</f>
        <v>0.0007656976315509491</v>
      </c>
      <c r="I132" s="163">
        <f>(B132*B4+C132*C4+D132*D4+E132*E4+F132*F4)/SUM(B4:F4)</f>
        <v>0.03409892503986563</v>
      </c>
    </row>
    <row r="133" spans="1:9" ht="12.75">
      <c r="A133" s="163" t="s">
        <v>185</v>
      </c>
      <c r="B133" s="163">
        <f>B93*10000/B62</f>
        <v>0.0434794038719176</v>
      </c>
      <c r="C133" s="163">
        <f>C93*10000/C62</f>
        <v>0.04462821155692693</v>
      </c>
      <c r="D133" s="163">
        <f>D93*10000/D62</f>
        <v>0.04336941517600217</v>
      </c>
      <c r="E133" s="163">
        <f>E93*10000/E62</f>
        <v>0.04003411403161316</v>
      </c>
      <c r="F133" s="163">
        <f>F93*10000/F62</f>
        <v>0.023535232861300333</v>
      </c>
      <c r="G133" s="163">
        <f>AVERAGE(C133:E133)</f>
        <v>0.04267724692151409</v>
      </c>
      <c r="H133" s="163">
        <f>STDEV(C133:E133)</f>
        <v>0.0023739746602298886</v>
      </c>
      <c r="I133" s="163">
        <f>(B133*B4+C133*C4+D133*D4+E133*E4+F133*F4)/SUM(B4:F4)</f>
        <v>0.04023747383944568</v>
      </c>
    </row>
    <row r="134" spans="1:9" ht="12.75">
      <c r="A134" s="163" t="s">
        <v>186</v>
      </c>
      <c r="B134" s="163">
        <f>B94*10000/B62</f>
        <v>0.0023495475054441067</v>
      </c>
      <c r="C134" s="163">
        <f>C94*10000/C62</f>
        <v>0.018574462166409334</v>
      </c>
      <c r="D134" s="163">
        <f>D94*10000/D62</f>
        <v>0.02481492624285028</v>
      </c>
      <c r="E134" s="163">
        <f>E94*10000/E62</f>
        <v>0.032045285253108784</v>
      </c>
      <c r="F134" s="163">
        <f>F94*10000/F62</f>
        <v>-0.008399803343913145</v>
      </c>
      <c r="G134" s="163">
        <f>AVERAGE(C134:E134)</f>
        <v>0.025144891220789462</v>
      </c>
      <c r="H134" s="163">
        <f>STDEV(C134:E134)</f>
        <v>0.0067414706350535075</v>
      </c>
      <c r="I134" s="163">
        <f>(B134*B4+C134*C4+D134*D4+E134*E4+F134*F4)/SUM(B4:F4)</f>
        <v>0.017368994205463263</v>
      </c>
    </row>
    <row r="135" spans="1:9" ht="12.75">
      <c r="A135" s="163" t="s">
        <v>187</v>
      </c>
      <c r="B135" s="163">
        <f>B95*10000/B62</f>
        <v>0.0003025696831442793</v>
      </c>
      <c r="C135" s="163">
        <f>C95*10000/C62</f>
        <v>-0.002035502753499025</v>
      </c>
      <c r="D135" s="163">
        <f>D95*10000/D62</f>
        <v>0.002716572138847172</v>
      </c>
      <c r="E135" s="163">
        <f>E95*10000/E62</f>
        <v>-0.0003257611612278402</v>
      </c>
      <c r="F135" s="163">
        <f>F95*10000/F62</f>
        <v>0.00742086809157668</v>
      </c>
      <c r="G135" s="163">
        <f>AVERAGE(C135:E135)</f>
        <v>0.0001184360747067689</v>
      </c>
      <c r="H135" s="163">
        <f>STDEV(C135:E135)</f>
        <v>0.0024069768037780796</v>
      </c>
      <c r="I135" s="163">
        <f>(B135*B4+C135*C4+D135*D4+E135*E4+F135*F4)/SUM(B4:F4)</f>
        <v>0.0011200722226897468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2003-12-12T06:12:32Z</cp:lastPrinted>
  <dcterms:created xsi:type="dcterms:W3CDTF">1999-06-17T15:15:05Z</dcterms:created>
  <dcterms:modified xsi:type="dcterms:W3CDTF">2005-10-05T15:09:20Z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