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49_pos1ap2" sheetId="2" r:id="rId2"/>
    <sheet name="HCMQAP149_pos2ap2" sheetId="3" r:id="rId3"/>
    <sheet name="HCMQAP149_pos3ap2" sheetId="4" r:id="rId4"/>
    <sheet name="HCMQAP149_pos4ap2" sheetId="5" r:id="rId5"/>
    <sheet name="HCMQAP149_pos5ap2" sheetId="6" r:id="rId6"/>
    <sheet name="Lmag_hcmqap" sheetId="7" r:id="rId7"/>
    <sheet name="Result_HCMQAP" sheetId="8" r:id="rId8"/>
  </sheets>
  <definedNames>
    <definedName name="_xlnm.Print_Area" localSheetId="1">'HCMQAP149_pos1ap2'!$A$1:$N$28</definedName>
    <definedName name="_xlnm.Print_Area" localSheetId="2">'HCMQAP149_pos2ap2'!$A$1:$N$28</definedName>
    <definedName name="_xlnm.Print_Area" localSheetId="3">'HCMQAP149_pos3ap2'!$A$1:$N$28</definedName>
    <definedName name="_xlnm.Print_Area" localSheetId="4">'HCMQAP149_pos4ap2'!$A$1:$N$28</definedName>
    <definedName name="_xlnm.Print_Area" localSheetId="5">'HCMQAP149_pos5ap2'!$A$1:$N$28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<sst xmlns="http://schemas.openxmlformats.org/spreadsheetml/2006/main" count="513" uniqueCount="192">
  <si>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</si>
  <si>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</si>
  <si>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</si>
  <si>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</si>
  <si>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</si>
  <si>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</si>
  <si>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</si>
  <si>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</si>
  <si>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</si>
  <si>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</si>
  <si>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</si>
  <si>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</si>
  <si>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</si>
  <si>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</si>
  <si>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</si>
  <si>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hcmqap149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</si>
  <si>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</si>
  <si>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</si>
  <si>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</si>
  <si>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</si>
  <si>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</si>
  <si>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</si>
  <si>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</si>
  <si>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</si>
  <si>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</si>
  <si>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</si>
  <si>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</si>
  <si>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</si>
  <si>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</si>
  <si>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</si>
  <si>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</si>
  <si>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</si>
  <si>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</si>
  <si>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</si>
  <si>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</si>
  <si>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</si>
  <si>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</si>
  <si>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</si>
  <si>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</si>
  <si>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</si>
  <si>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</si>
  <si>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</si>
  <si>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</si>
  <si>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</si>
  <si>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</si>
  <si>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</si>
  <si>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</si>
  <si>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</si>
  <si>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</si>
  <si>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</si>
  <si>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</si>
  <si>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</si>
  <si>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</si>
  <si>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</si>
  <si>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</si>
  <si>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</si>
  <si>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</si>
  <si>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</si>
  <si>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</si>
  <si>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</si>
  <si>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</si>
  <si>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</si>
  <si>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</si>
  <si>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</si>
  <si>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</si>
  <si>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</si>
  <si>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</si>
  <si>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</si>
  <si>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HCMQAP149_pos1ap2</t>
  </si>
  <si>
    <t>15/12/2003</t>
  </si>
  <si>
    <t>±12.5</t>
  </si>
  <si>
    <t>THCMQAP149_pos1ap2.xls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</si>
  <si>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-3.746 mT)</t>
    </r>
  </si>
  <si>
    <t>HCMQAP149_pos2ap2</t>
  </si>
  <si>
    <t>THCMQAP149_pos2ap2.xls</t>
  </si>
  <si>
    <t>HCMQAP149_pos3ap2</t>
  </si>
  <si>
    <t>THCMQAP149_pos3ap2.xls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</si>
  <si>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-3.745 mT)</t>
    </r>
  </si>
  <si>
    <t>HCMQAP149_pos4ap2</t>
  </si>
  <si>
    <t>THCMQAP149_pos4ap2.xls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</si>
  <si>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</si>
  <si>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HCMQAP149_pos5ap2</t>
  </si>
  <si>
    <t>THCMQAP149_pos5ap2.xls</t>
  </si>
  <si>
    <t>Sommaire : Valeurs intégrales calculées avec les fichiers: HCMQAP149_pos1ap2+HCMQAP149_pos2ap2+HCMQAP149_pos3ap2+HCMQAP149_pos4ap2+HCMQAP149_pos5ap2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</si>
  <si>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</si>
  <si>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</si>
  <si>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</si>
  <si>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</si>
  <si>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</si>
  <si>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</si>
  <si>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</si>
  <si>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</si>
  <si>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</si>
  <si>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</si>
  <si>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</si>
  <si>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</si>
  <si>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</si>
  <si>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</si>
  <si>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</si>
  <si>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</si>
  <si>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</si>
  <si>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</si>
  <si>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</si>
  <si>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</si>
  <si>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</si>
  <si>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</si>
  <si>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</si>
  <si>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</si>
  <si>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</si>
  <si>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</si>
  <si>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</si>
  <si>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</si>
  <si>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</si>
  <si>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</si>
  <si>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</si>
  <si>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</si>
  <si>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</si>
  <si>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</si>
  <si>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</si>
  <si>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</si>
  <si>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</si>
  <si>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</si>
  <si>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</si>
  <si>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</si>
  <si>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</si>
  <si>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</si>
  <si>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</si>
  <si>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=-3.746</t>
    </r>
  </si>
  <si>
    <t>Gradient (T/m)</t>
  </si>
  <si>
    <t xml:space="preserve"> Mon 15/12/2003       07:49:54</t>
  </si>
  <si>
    <t>SIEGMUND</t>
  </si>
  <si>
    <t>HCMQAP149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</si>
  <si>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</si>
  <si>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</si>
  <si>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</si>
  <si>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</si>
  <si>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</si>
  <si>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</si>
  <si>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</si>
  <si>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</si>
  <si>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</si>
  <si>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a11*</t>
  </si>
  <si>
    <t>Temp taupe (deg)</t>
  </si>
  <si>
    <t>Niv init (mrad)</t>
  </si>
  <si>
    <t>Dx moy (mm)</t>
  </si>
  <si>
    <t>Dy moy (mm)</t>
  </si>
  <si>
    <t>C2 centre (T)</t>
  </si>
  <si>
    <t>-0.003742*</t>
  </si>
  <si>
    <t>Long. Mag. (m)</t>
  </si>
  <si>
    <t>* = Integral error  ! = Central error           Conclusion : CONTACT CEA           Duration : 30mn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</si>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</sst>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969113"/>
        <c:axId val="36489606"/>
      </c:lineChart>
      <c:catAx>
        <c:axId val="7969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489606"/>
        <c:crosses val="autoZero"/>
        <c:auto val="1"/>
        <c:lblOffset val="100"/>
        <c:noMultiLvlLbl val="0"/>
      </c:catAx>
      <c:valAx>
        <c:axId val="3648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9691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2837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2837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2837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2837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2837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2.95440327E-05</v>
      </c>
      <c r="L2" s="55">
        <v>1.870164175319838E-07</v>
      </c>
      <c r="M2" s="55">
        <v>8.039931000000001E-05</v>
      </c>
      <c r="N2" s="56">
        <v>9.34447800542714E-08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-3.14360953E-05</v>
      </c>
      <c r="L3" s="55">
        <v>1.1478980897889491E-07</v>
      </c>
      <c r="M3" s="55">
        <v>1.3770361999999999E-05</v>
      </c>
      <c r="N3" s="56">
        <v>3.012758308526989E-07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-0.002246706789789724</v>
      </c>
      <c r="L4" s="55">
        <v>-2.1419382304552758E-07</v>
      </c>
      <c r="M4" s="55">
        <v>5.9070809146782944E-08</v>
      </c>
      <c r="N4" s="56">
        <v>0.04766839700000001</v>
      </c>
    </row>
    <row r="5" spans="1:14" ht="15" customHeight="1" thickBot="1">
      <c r="A5" t="s">
        <v>18</v>
      </c>
      <c r="B5" s="59">
        <v>37970.30488425926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-0.7550818900000001</v>
      </c>
      <c r="E8" s="78">
        <v>0.01665153433096296</v>
      </c>
      <c r="F8" s="78">
        <v>2.6312006</v>
      </c>
      <c r="G8" s="78">
        <v>0.008134518752842745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-0.6024881719999999</v>
      </c>
      <c r="E9" s="80">
        <v>0.012479717777775113</v>
      </c>
      <c r="F9" s="80">
        <v>-0.71739286</v>
      </c>
      <c r="G9" s="80">
        <v>0.02131307675070657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-0.10347626000000001</v>
      </c>
      <c r="E10" s="80">
        <v>0.006675631659955134</v>
      </c>
      <c r="F10" s="80">
        <v>1.2037306</v>
      </c>
      <c r="G10" s="80">
        <v>0.010651624582180278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3.3949638999999996</v>
      </c>
      <c r="E11" s="78">
        <v>0.0073278841109761985</v>
      </c>
      <c r="F11" s="78">
        <v>0.5398258599999999</v>
      </c>
      <c r="G11" s="78">
        <v>0.008946909129272637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-0.0069755387000000005</v>
      </c>
      <c r="E12" s="80">
        <v>0.008798047952218693</v>
      </c>
      <c r="F12" s="80">
        <v>0.15071218</v>
      </c>
      <c r="G12" s="80">
        <v>0.006501621879740343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16.073609</v>
      </c>
      <c r="D13" s="83">
        <v>-0.082121291</v>
      </c>
      <c r="E13" s="80">
        <v>0.00550247330134968</v>
      </c>
      <c r="F13" s="80">
        <v>-0.074371995</v>
      </c>
      <c r="G13" s="80">
        <v>0.003929749742087767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-0.024051857</v>
      </c>
      <c r="E14" s="80">
        <v>0.0031092613766458893</v>
      </c>
      <c r="F14" s="80">
        <v>0.07360717689999999</v>
      </c>
      <c r="G14" s="80">
        <v>0.0054913523642383345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-0.29373700999999997</v>
      </c>
      <c r="E15" s="78">
        <v>0.0006568826785753431</v>
      </c>
      <c r="F15" s="78">
        <v>0.12462909</v>
      </c>
      <c r="G15" s="78">
        <v>0.0026429531706784835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0.006779178200000001</v>
      </c>
      <c r="E16" s="80">
        <v>0.0023636308154836383</v>
      </c>
      <c r="F16" s="80">
        <v>-0.025368675</v>
      </c>
      <c r="G16" s="80">
        <v>0.0023792564323586105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-0.27799999713897705</v>
      </c>
      <c r="D17" s="83">
        <v>-0.0020182249999999994</v>
      </c>
      <c r="E17" s="80">
        <v>0.002198731741738859</v>
      </c>
      <c r="F17" s="80">
        <v>0.023717349399999997</v>
      </c>
      <c r="G17" s="80">
        <v>0.001442271287154449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15.258999824523926</v>
      </c>
      <c r="D18" s="83">
        <v>0.026697798000000002</v>
      </c>
      <c r="E18" s="80">
        <v>0.001851967088645492</v>
      </c>
      <c r="F18" s="80">
        <v>0.05640527199999999</v>
      </c>
      <c r="G18" s="80">
        <v>0.002919105589400085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-0.32600000500679016</v>
      </c>
      <c r="D19" s="86">
        <v>-0.19140726999999996</v>
      </c>
      <c r="E19" s="80">
        <v>0.0012197931782125394</v>
      </c>
      <c r="F19" s="80">
        <v>0.020667357</v>
      </c>
      <c r="G19" s="80">
        <v>0.0011494343646142446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0.2234903</v>
      </c>
      <c r="D20" s="88">
        <v>-0.0052131812</v>
      </c>
      <c r="E20" s="89">
        <v>0.0009704537621955317</v>
      </c>
      <c r="F20" s="89">
        <v>-0.0023984852</v>
      </c>
      <c r="G20" s="89">
        <v>0.0016825505089874898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0.6083673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0.0027312002712002524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-2.2467068</v>
      </c>
      <c r="I25" s="101" t="s">
        <v>49</v>
      </c>
      <c r="J25" s="102"/>
      <c r="K25" s="101"/>
      <c r="L25" s="104">
        <v>3.4376142659449074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2.7374011869008776</v>
      </c>
      <c r="I26" s="106" t="s">
        <v>53</v>
      </c>
      <c r="J26" s="107"/>
      <c r="K26" s="106"/>
      <c r="L26" s="109">
        <v>0.31908281231988694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HCMQAP149_pos1ap2res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5.9273679E-05</v>
      </c>
      <c r="L2" s="55">
        <v>4.172580833421538E-07</v>
      </c>
      <c r="M2" s="55">
        <v>6.3742893E-05</v>
      </c>
      <c r="N2" s="56">
        <v>4.175798009317436E-07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-2.8691794999999998E-05</v>
      </c>
      <c r="L3" s="55">
        <v>5.527985159622909E-07</v>
      </c>
      <c r="M3" s="55">
        <v>1.2679054999999999E-05</v>
      </c>
      <c r="N3" s="56">
        <v>2.0109770016088484E-07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-0.0037462038241218355</v>
      </c>
      <c r="L4" s="55">
        <v>-4.187895284442123E-05</v>
      </c>
      <c r="M4" s="55">
        <v>6.170121003034798E-08</v>
      </c>
      <c r="N4" s="56">
        <v>5.5892859</v>
      </c>
    </row>
    <row r="5" spans="1:14" ht="15" customHeight="1" thickBot="1">
      <c r="A5" t="s">
        <v>18</v>
      </c>
      <c r="B5" s="59">
        <v>37970.30935185185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1.6392157</v>
      </c>
      <c r="E8" s="78">
        <v>0.014279110033871993</v>
      </c>
      <c r="F8" s="78">
        <v>-2.2302836</v>
      </c>
      <c r="G8" s="78">
        <v>0.007139581440165013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-0.06133911000000001</v>
      </c>
      <c r="E9" s="80">
        <v>0.013045428769588233</v>
      </c>
      <c r="F9" s="80">
        <v>-0.057131280000000007</v>
      </c>
      <c r="G9" s="80">
        <v>0.010109850529439109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-0.76730575</v>
      </c>
      <c r="E10" s="80">
        <v>0.005302634927928839</v>
      </c>
      <c r="F10" s="80">
        <v>0.053435595</v>
      </c>
      <c r="G10" s="80">
        <v>0.003587771040377289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3.4068072000000003</v>
      </c>
      <c r="E11" s="78">
        <v>0.005764713814097808</v>
      </c>
      <c r="F11" s="78">
        <v>-0.23552442999999998</v>
      </c>
      <c r="G11" s="78">
        <v>0.006266481392504374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-0.17563762</v>
      </c>
      <c r="E12" s="80">
        <v>0.002711847893705888</v>
      </c>
      <c r="F12" s="80">
        <v>0.05531941729999999</v>
      </c>
      <c r="G12" s="80">
        <v>0.0024465706847472475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16.018677</v>
      </c>
      <c r="D13" s="83">
        <v>-0.06647653900000002</v>
      </c>
      <c r="E13" s="80">
        <v>0.0019448459608289795</v>
      </c>
      <c r="F13" s="80">
        <v>-0.05333742</v>
      </c>
      <c r="G13" s="80">
        <v>0.0037471707258409834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-0.08820569200000002</v>
      </c>
      <c r="E14" s="80">
        <v>0.003186384153518533</v>
      </c>
      <c r="F14" s="80">
        <v>-0.12199657899999998</v>
      </c>
      <c r="G14" s="80">
        <v>0.002921900270869413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-0.010878762</v>
      </c>
      <c r="E15" s="78">
        <v>0.002298892264693149</v>
      </c>
      <c r="F15" s="78">
        <v>-0.018984685</v>
      </c>
      <c r="G15" s="78">
        <v>0.001895251873762439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-0.025173393999999998</v>
      </c>
      <c r="E16" s="80">
        <v>0.001872960083830986</v>
      </c>
      <c r="F16" s="80">
        <v>-0.034216590000000005</v>
      </c>
      <c r="G16" s="80">
        <v>0.0017439899587554833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0.4129999876022339</v>
      </c>
      <c r="D17" s="83">
        <v>-0.003095566</v>
      </c>
      <c r="E17" s="80">
        <v>0.0012784662154018782</v>
      </c>
      <c r="F17" s="80">
        <v>-0.015240068999999998</v>
      </c>
      <c r="G17" s="80">
        <v>0.002439637628108742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0.035207709999999996</v>
      </c>
      <c r="E18" s="80">
        <v>0.0008609092621234779</v>
      </c>
      <c r="F18" s="80">
        <v>0.02382208</v>
      </c>
      <c r="G18" s="80">
        <v>0.0009989808065873874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0.32499998807907104</v>
      </c>
      <c r="D19" s="86">
        <v>-0.18245558</v>
      </c>
      <c r="E19" s="80">
        <v>0.0005037905205530994</v>
      </c>
      <c r="F19" s="80">
        <v>0.009993407299999998</v>
      </c>
      <c r="G19" s="80">
        <v>0.0010356145825083732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0.2657101</v>
      </c>
      <c r="D20" s="88">
        <v>-0.0012457055</v>
      </c>
      <c r="E20" s="89">
        <v>0.0008695093374917094</v>
      </c>
      <c r="F20" s="89">
        <v>-0.0078163937</v>
      </c>
      <c r="G20" s="89">
        <v>0.0007553241919503539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0.2922264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0.3202427630594699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-3.7464379</v>
      </c>
      <c r="I25" s="101" t="s">
        <v>49</v>
      </c>
      <c r="J25" s="102"/>
      <c r="K25" s="101"/>
      <c r="L25" s="104">
        <v>3.4149388069332467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2.767886025029833</v>
      </c>
      <c r="I26" s="106" t="s">
        <v>53</v>
      </c>
      <c r="J26" s="107"/>
      <c r="K26" s="106"/>
      <c r="L26" s="109">
        <v>0.021880715874986106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HCMQAP149_pos2ap2res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5.0792473999999994E-05</v>
      </c>
      <c r="L2" s="55">
        <v>1.5890930330017733E-07</v>
      </c>
      <c r="M2" s="55">
        <v>4.4492228000000004E-05</v>
      </c>
      <c r="N2" s="56">
        <v>3.2046867320534346E-07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-2.8409401999999995E-05</v>
      </c>
      <c r="L3" s="55">
        <v>1.7734534746129194E-07</v>
      </c>
      <c r="M3" s="55">
        <v>1.2180827999999999E-05</v>
      </c>
      <c r="N3" s="56">
        <v>2.3533281259959402E-07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-0.003745478893855944</v>
      </c>
      <c r="L4" s="55">
        <v>-3.6833290372238364E-05</v>
      </c>
      <c r="M4" s="55">
        <v>6.081040780105877E-08</v>
      </c>
      <c r="N4" s="56">
        <v>4.916875</v>
      </c>
    </row>
    <row r="5" spans="1:14" ht="15" customHeight="1" thickBot="1">
      <c r="A5" t="s">
        <v>18</v>
      </c>
      <c r="B5" s="59">
        <v>37970.313738425924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2.1764017000000004</v>
      </c>
      <c r="E8" s="78">
        <v>0.005744893041553731</v>
      </c>
      <c r="F8" s="78">
        <v>-0.103461858</v>
      </c>
      <c r="G8" s="78">
        <v>0.015619459095998909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0.07132553</v>
      </c>
      <c r="E9" s="80">
        <v>0.009040855929755799</v>
      </c>
      <c r="F9" s="80">
        <v>-1.7073472000000003</v>
      </c>
      <c r="G9" s="80">
        <v>0.012095560163068522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-0.74944054</v>
      </c>
      <c r="E10" s="80">
        <v>0.004996025942416248</v>
      </c>
      <c r="F10" s="80">
        <v>0.83710565</v>
      </c>
      <c r="G10" s="80">
        <v>0.002822114024779436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3.1840564000000002</v>
      </c>
      <c r="E11" s="78">
        <v>0.00336891710219199</v>
      </c>
      <c r="F11" s="78">
        <v>-0.23870121000000002</v>
      </c>
      <c r="G11" s="78">
        <v>0.005683463917928271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-0.024475471</v>
      </c>
      <c r="E12" s="80">
        <v>0.003745662426177578</v>
      </c>
      <c r="F12" s="80">
        <v>-0.39033347</v>
      </c>
      <c r="G12" s="80">
        <v>0.0038153372147894295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15.945435</v>
      </c>
      <c r="D13" s="83">
        <v>-0.06590311600000001</v>
      </c>
      <c r="E13" s="80">
        <v>0.002239183539396293</v>
      </c>
      <c r="F13" s="80">
        <v>0.028944730000000002</v>
      </c>
      <c r="G13" s="80">
        <v>0.0023027660759617004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-0.08346561599999999</v>
      </c>
      <c r="E14" s="80">
        <v>0.0015507912093553002</v>
      </c>
      <c r="F14" s="80">
        <v>-0.16723146</v>
      </c>
      <c r="G14" s="80">
        <v>0.0019339309156221683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-0.010705967</v>
      </c>
      <c r="E15" s="78">
        <v>0.0011955751626585372</v>
      </c>
      <c r="F15" s="78">
        <v>0.006605657819999999</v>
      </c>
      <c r="G15" s="78">
        <v>0.0014891760583097013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12.5136</v>
      </c>
      <c r="D16" s="83">
        <v>-0.0149400832</v>
      </c>
      <c r="E16" s="80">
        <v>0.0012440887525136245</v>
      </c>
      <c r="F16" s="80">
        <v>-0.08796436299999999</v>
      </c>
      <c r="G16" s="80">
        <v>0.0010827329470683308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-0.13500000536441803</v>
      </c>
      <c r="D17" s="83">
        <v>0.006492035</v>
      </c>
      <c r="E17" s="80">
        <v>0.0015517981229496275</v>
      </c>
      <c r="F17" s="80">
        <v>0.011166873000000003</v>
      </c>
      <c r="G17" s="80">
        <v>0.000647681580953137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23.39699935913086</v>
      </c>
      <c r="D18" s="83">
        <v>0.022247777</v>
      </c>
      <c r="E18" s="80">
        <v>0.0006084295358429132</v>
      </c>
      <c r="F18" s="80">
        <v>-0.011932595099999999</v>
      </c>
      <c r="G18" s="80">
        <v>0.0011436079802861034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-0.19200000166893005</v>
      </c>
      <c r="D19" s="86">
        <v>-0.17718156000000002</v>
      </c>
      <c r="E19" s="80">
        <v>0.0004718862335335694</v>
      </c>
      <c r="F19" s="80">
        <v>0.010152868800000001</v>
      </c>
      <c r="G19" s="80">
        <v>0.0003054090914823144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0.22852560000000005</v>
      </c>
      <c r="D20" s="88">
        <v>0.00111879481</v>
      </c>
      <c r="E20" s="89">
        <v>0.0009807810373845685</v>
      </c>
      <c r="F20" s="89">
        <v>-0.0015758391</v>
      </c>
      <c r="G20" s="89">
        <v>0.0008270525629481722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0.20418890000000003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0.2817164238490701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-3.745659999999999</v>
      </c>
      <c r="I25" s="101" t="s">
        <v>49</v>
      </c>
      <c r="J25" s="102"/>
      <c r="K25" s="101"/>
      <c r="L25" s="104">
        <v>3.192991297519683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2.178859498871762</v>
      </c>
      <c r="I26" s="106" t="s">
        <v>53</v>
      </c>
      <c r="J26" s="107"/>
      <c r="K26" s="106"/>
      <c r="L26" s="109">
        <v>0.012579842790751248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HCMQAP149_pos3ap2res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4.2623689000000007E-05</v>
      </c>
      <c r="L2" s="55">
        <v>1.3810911571519982E-07</v>
      </c>
      <c r="M2" s="55">
        <v>7.941123500000001E-05</v>
      </c>
      <c r="N2" s="56">
        <v>2.3306494354251392E-07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-2.9398095E-05</v>
      </c>
      <c r="L3" s="55">
        <v>1.1831978118600342E-07</v>
      </c>
      <c r="M3" s="55">
        <v>1.1635548999999998E-05</v>
      </c>
      <c r="N3" s="56">
        <v>2.709729918534117E-07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-0.003745377441293738</v>
      </c>
      <c r="L4" s="55">
        <v>-2.9281311677977813E-05</v>
      </c>
      <c r="M4" s="55">
        <v>5.9350134097034826E-08</v>
      </c>
      <c r="N4" s="56">
        <v>3.9089137999999997</v>
      </c>
    </row>
    <row r="5" spans="1:14" ht="15" customHeight="1" thickBot="1">
      <c r="A5" t="s">
        <v>18</v>
      </c>
      <c r="B5" s="59">
        <v>37970.31831018518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1.9716477000000001</v>
      </c>
      <c r="E8" s="78">
        <v>0.00853210600377074</v>
      </c>
      <c r="F8" s="78">
        <v>-1.6799776000000002</v>
      </c>
      <c r="G8" s="78">
        <v>0.01393239272125722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-0.04989778999999999</v>
      </c>
      <c r="E9" s="80">
        <v>0.019820602997270294</v>
      </c>
      <c r="F9" s="80">
        <v>-0.92267864</v>
      </c>
      <c r="G9" s="80">
        <v>0.012687888570976242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-0.6638131999999999</v>
      </c>
      <c r="E10" s="80">
        <v>0.0073153965149606315</v>
      </c>
      <c r="F10" s="80">
        <v>0.22049771</v>
      </c>
      <c r="G10" s="80">
        <v>0.005831826876750873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3.3407773</v>
      </c>
      <c r="E11" s="78">
        <v>0.006185204083967847</v>
      </c>
      <c r="F11" s="78">
        <v>-0.2068495</v>
      </c>
      <c r="G11" s="78">
        <v>0.003128485092819331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0.060965434</v>
      </c>
      <c r="E12" s="80">
        <v>0.006241866063827722</v>
      </c>
      <c r="F12" s="80">
        <v>-0.2396054</v>
      </c>
      <c r="G12" s="80">
        <v>0.005757598333593802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15.893555</v>
      </c>
      <c r="D13" s="83">
        <v>-0.095418647</v>
      </c>
      <c r="E13" s="80">
        <v>0.0028484030453316597</v>
      </c>
      <c r="F13" s="80">
        <v>-0.030616110000000002</v>
      </c>
      <c r="G13" s="80">
        <v>0.0027992993636622894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-0.045449698</v>
      </c>
      <c r="E14" s="80">
        <v>0.0035453029603302387</v>
      </c>
      <c r="F14" s="80">
        <v>-0.0963079</v>
      </c>
      <c r="G14" s="80">
        <v>0.0026144236139518926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-0.0008450470000000001</v>
      </c>
      <c r="E15" s="78">
        <v>0.0011003647642513817</v>
      </c>
      <c r="F15" s="78">
        <v>0.040516487</v>
      </c>
      <c r="G15" s="78">
        <v>0.001948991691271809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-0.0032272275599999995</v>
      </c>
      <c r="E16" s="80">
        <v>0.00206580462717705</v>
      </c>
      <c r="F16" s="80">
        <v>-0.04613611</v>
      </c>
      <c r="G16" s="80">
        <v>0.0022167291841719713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0.32100000977516174</v>
      </c>
      <c r="D17" s="83">
        <v>0.003458207</v>
      </c>
      <c r="E17" s="80">
        <v>0.0013153531668970127</v>
      </c>
      <c r="F17" s="80">
        <v>-0.0001095989999999998</v>
      </c>
      <c r="G17" s="80">
        <v>0.0007278403785267755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0.021363398</v>
      </c>
      <c r="E18" s="80">
        <v>0.001495771429235105</v>
      </c>
      <c r="F18" s="80">
        <v>0.0204438847</v>
      </c>
      <c r="G18" s="80">
        <v>0.0017123448351091853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0.24799999594688416</v>
      </c>
      <c r="D19" s="86">
        <v>-0.18055780999999999</v>
      </c>
      <c r="E19" s="80">
        <v>0.0006481529344233912</v>
      </c>
      <c r="F19" s="80">
        <v>0.014780916</v>
      </c>
      <c r="G19" s="80">
        <v>0.0005211103774096302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0.19063310000000003</v>
      </c>
      <c r="D20" s="88">
        <v>-0.00039994177999999993</v>
      </c>
      <c r="E20" s="89">
        <v>0.00046844746286107015</v>
      </c>
      <c r="F20" s="89">
        <v>-0.004175438875</v>
      </c>
      <c r="G20" s="89">
        <v>0.0006813611287328962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0.3619265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0.22396445239512475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-3.7454919</v>
      </c>
      <c r="I25" s="101" t="s">
        <v>49</v>
      </c>
      <c r="J25" s="102"/>
      <c r="K25" s="101"/>
      <c r="L25" s="104">
        <v>3.3471748809773203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2.5903126045744074</v>
      </c>
      <c r="I26" s="106" t="s">
        <v>53</v>
      </c>
      <c r="J26" s="107"/>
      <c r="K26" s="106"/>
      <c r="L26" s="109">
        <v>0.04052529855847305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HCMQAP149_pos4ap2res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2.2090188999999997E-05</v>
      </c>
      <c r="L2" s="55">
        <v>1.5619469336406239E-07</v>
      </c>
      <c r="M2" s="55">
        <v>8.1622254E-05</v>
      </c>
      <c r="N2" s="56">
        <v>8.436012194199657E-08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-3.1652541E-05</v>
      </c>
      <c r="L3" s="55">
        <v>1.1655270998500621E-07</v>
      </c>
      <c r="M3" s="55">
        <v>1.0900887999999998E-05</v>
      </c>
      <c r="N3" s="56">
        <v>1.6549694899300916E-07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-0.0020826046661023886</v>
      </c>
      <c r="L4" s="55">
        <v>-2.1124549410562143E-05</v>
      </c>
      <c r="M4" s="55">
        <v>9.087662480422999E-08</v>
      </c>
      <c r="N4" s="56">
        <v>5.0714917999999996</v>
      </c>
    </row>
    <row r="5" spans="1:14" ht="15" customHeight="1" thickBot="1">
      <c r="A5" t="s">
        <v>18</v>
      </c>
      <c r="B5" s="59">
        <v>37970.32282407407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2837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0.31925454000000003</v>
      </c>
      <c r="E8" s="78">
        <v>0.011354691326644496</v>
      </c>
      <c r="F8" s="114">
        <v>6.4301446</v>
      </c>
      <c r="G8" s="78">
        <v>0.02061800574603239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6">
        <v>-3.0830417</v>
      </c>
      <c r="E9" s="80">
        <v>0.0203196457562147</v>
      </c>
      <c r="F9" s="115">
        <v>-2.6443204</v>
      </c>
      <c r="G9" s="80">
        <v>0.02076616269657917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-0.97952517</v>
      </c>
      <c r="E10" s="80">
        <v>0.0026403427373488443</v>
      </c>
      <c r="F10" s="80">
        <v>-1.4813477</v>
      </c>
      <c r="G10" s="80">
        <v>0.011047786459755333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14.662213</v>
      </c>
      <c r="E11" s="78">
        <v>0.005364006528542082</v>
      </c>
      <c r="F11" s="78">
        <v>1.4413106999999998</v>
      </c>
      <c r="G11" s="78">
        <v>0.004050742408561083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-0.042378023800000005</v>
      </c>
      <c r="E12" s="80">
        <v>0.008249250233854572</v>
      </c>
      <c r="F12" s="80">
        <v>0.20174140000000002</v>
      </c>
      <c r="G12" s="80">
        <v>0.005927945476469565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15.90271</v>
      </c>
      <c r="D13" s="83">
        <v>-0.2998312</v>
      </c>
      <c r="E13" s="80">
        <v>0.005092422780756054</v>
      </c>
      <c r="F13" s="80">
        <v>-0.037055192</v>
      </c>
      <c r="G13" s="80">
        <v>0.006887714674761566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-0.15665463000000002</v>
      </c>
      <c r="E14" s="80">
        <v>0.00626418331521348</v>
      </c>
      <c r="F14" s="80">
        <v>0.055380359000000004</v>
      </c>
      <c r="G14" s="80">
        <v>0.0028997015376145195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-0.25467069</v>
      </c>
      <c r="E15" s="78">
        <v>0.003003434492276795</v>
      </c>
      <c r="F15" s="78">
        <v>0.36362641</v>
      </c>
      <c r="G15" s="78">
        <v>0.0052889704946624885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0.0116161356</v>
      </c>
      <c r="E16" s="80">
        <v>0.002952764164240233</v>
      </c>
      <c r="F16" s="80">
        <v>0.01990321</v>
      </c>
      <c r="G16" s="80">
        <v>0.0026344002914382605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-0.009999999776482582</v>
      </c>
      <c r="D17" s="83">
        <v>-0.01453217</v>
      </c>
      <c r="E17" s="80">
        <v>0.0030112784576405453</v>
      </c>
      <c r="F17" s="80">
        <v>-0.005014991</v>
      </c>
      <c r="G17" s="80">
        <v>0.0040908289102606086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38.65599822998047</v>
      </c>
      <c r="D18" s="83">
        <v>-0.0198662299</v>
      </c>
      <c r="E18" s="80">
        <v>0.0018214410356622165</v>
      </c>
      <c r="F18" s="80">
        <v>0.039080796999999994</v>
      </c>
      <c r="G18" s="80">
        <v>0.0013299967232464217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-0.1120000034570694</v>
      </c>
      <c r="D19" s="83">
        <v>-0.14018317000000002</v>
      </c>
      <c r="E19" s="80">
        <v>0.0013601036164914643</v>
      </c>
      <c r="F19" s="80">
        <v>-0.0107863383</v>
      </c>
      <c r="G19" s="80">
        <v>0.0008995052564830094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0.17353200000000002</v>
      </c>
      <c r="D20" s="88">
        <v>0.0005851092</v>
      </c>
      <c r="E20" s="89">
        <v>0.0007694085210544917</v>
      </c>
      <c r="F20" s="89">
        <v>0.005096864045000001</v>
      </c>
      <c r="G20" s="89">
        <v>0.00018546562889060873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0.6680259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0.29057532141367903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-2.0827118</v>
      </c>
      <c r="I25" s="101" t="s">
        <v>49</v>
      </c>
      <c r="J25" s="102"/>
      <c r="K25" s="101"/>
      <c r="L25" s="104">
        <v>14.732883851822884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6.438065162626096</v>
      </c>
      <c r="I26" s="106" t="s">
        <v>53</v>
      </c>
      <c r="J26" s="107"/>
      <c r="K26" s="106"/>
      <c r="L26" s="109">
        <v>0.4439384263550118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HCMQAP149_pos5ap2res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75</v>
      </c>
      <c r="E1" s="121" t="s">
        <v>78</v>
      </c>
      <c r="F1" s="128" t="s">
        <v>81</v>
      </c>
      <c r="G1" s="162" t="s">
        <v>121</v>
      </c>
    </row>
    <row r="2" spans="1:7" ht="13.5" thickBot="1">
      <c r="A2" s="140" t="s">
        <v>90</v>
      </c>
      <c r="B2" s="132">
        <v>-2.2467068</v>
      </c>
      <c r="C2" s="123">
        <v>-3.7464379</v>
      </c>
      <c r="D2" s="123">
        <v>-3.745659999999999</v>
      </c>
      <c r="E2" s="123">
        <v>-3.7454919</v>
      </c>
      <c r="F2" s="129">
        <v>-2.0827118</v>
      </c>
      <c r="G2" s="163">
        <v>3.1164243775368985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-0.7550818900000001</v>
      </c>
      <c r="C4" s="147">
        <v>1.6392157</v>
      </c>
      <c r="D4" s="147">
        <v>2.1764017000000004</v>
      </c>
      <c r="E4" s="147">
        <v>1.9716477000000001</v>
      </c>
      <c r="F4" s="152">
        <v>0.31925454000000003</v>
      </c>
      <c r="G4" s="159">
        <v>1.3263009922460365</v>
      </c>
    </row>
    <row r="5" spans="1:7" ht="12.75">
      <c r="A5" s="140" t="s">
        <v>93</v>
      </c>
      <c r="B5" s="134">
        <v>-0.6024881719999999</v>
      </c>
      <c r="C5" s="118">
        <v>-0.06133911000000001</v>
      </c>
      <c r="D5" s="118">
        <v>0.07132553</v>
      </c>
      <c r="E5" s="118">
        <v>-0.04989778999999999</v>
      </c>
      <c r="F5" s="153">
        <v>-3.0830417</v>
      </c>
      <c r="G5" s="160">
        <v>-0.509040346600147</v>
      </c>
    </row>
    <row r="6" spans="1:7" ht="12.75">
      <c r="A6" s="140" t="s">
        <v>95</v>
      </c>
      <c r="B6" s="134">
        <v>-0.10347626000000001</v>
      </c>
      <c r="C6" s="118">
        <v>-0.76730575</v>
      </c>
      <c r="D6" s="118">
        <v>-0.74944054</v>
      </c>
      <c r="E6" s="118">
        <v>-0.6638131999999999</v>
      </c>
      <c r="F6" s="154">
        <v>-0.97952517</v>
      </c>
      <c r="G6" s="160">
        <v>-0.6706920776373435</v>
      </c>
    </row>
    <row r="7" spans="1:7" ht="12.75">
      <c r="A7" s="140" t="s">
        <v>97</v>
      </c>
      <c r="B7" s="133">
        <v>3.3949638999999996</v>
      </c>
      <c r="C7" s="117">
        <v>3.4068072000000003</v>
      </c>
      <c r="D7" s="117">
        <v>3.1840564000000002</v>
      </c>
      <c r="E7" s="117">
        <v>3.3407773</v>
      </c>
      <c r="F7" s="155">
        <v>14.662213</v>
      </c>
      <c r="G7" s="160">
        <v>4.841475587130065</v>
      </c>
    </row>
    <row r="8" spans="1:7" ht="12.75">
      <c r="A8" s="140" t="s">
        <v>99</v>
      </c>
      <c r="B8" s="134">
        <v>-0.0069755387000000005</v>
      </c>
      <c r="C8" s="118">
        <v>-0.17563762</v>
      </c>
      <c r="D8" s="118">
        <v>-0.024475471</v>
      </c>
      <c r="E8" s="118">
        <v>0.060965434</v>
      </c>
      <c r="F8" s="154">
        <v>-0.042378023800000005</v>
      </c>
      <c r="G8" s="160">
        <v>-0.040166991248785304</v>
      </c>
    </row>
    <row r="9" spans="1:7" ht="12.75">
      <c r="A9" s="140" t="s">
        <v>101</v>
      </c>
      <c r="B9" s="134">
        <v>-0.082121291</v>
      </c>
      <c r="C9" s="118">
        <v>-0.06647653900000002</v>
      </c>
      <c r="D9" s="118">
        <v>-0.06590311600000001</v>
      </c>
      <c r="E9" s="118">
        <v>-0.095418647</v>
      </c>
      <c r="F9" s="154">
        <v>-0.2998312</v>
      </c>
      <c r="G9" s="160">
        <v>-0.10678063880643159</v>
      </c>
    </row>
    <row r="10" spans="1:7" ht="12.75">
      <c r="A10" s="140" t="s">
        <v>103</v>
      </c>
      <c r="B10" s="134">
        <v>-0.024051857</v>
      </c>
      <c r="C10" s="118">
        <v>-0.08820569200000002</v>
      </c>
      <c r="D10" s="118">
        <v>-0.08346561599999999</v>
      </c>
      <c r="E10" s="118">
        <v>-0.045449698</v>
      </c>
      <c r="F10" s="154">
        <v>-0.15665463000000002</v>
      </c>
      <c r="G10" s="160">
        <v>-0.07667666958718251</v>
      </c>
    </row>
    <row r="11" spans="1:7" ht="12.75">
      <c r="A11" s="140" t="s">
        <v>105</v>
      </c>
      <c r="B11" s="133">
        <v>-0.29373700999999997</v>
      </c>
      <c r="C11" s="117">
        <v>-0.010878762</v>
      </c>
      <c r="D11" s="117">
        <v>-0.010705967</v>
      </c>
      <c r="E11" s="117">
        <v>-0.0008450470000000001</v>
      </c>
      <c r="F11" s="156">
        <v>-0.25467069</v>
      </c>
      <c r="G11" s="160">
        <v>-0.08186346351971704</v>
      </c>
    </row>
    <row r="12" spans="1:7" ht="12.75">
      <c r="A12" s="140" t="s">
        <v>107</v>
      </c>
      <c r="B12" s="134">
        <v>0.006779178200000001</v>
      </c>
      <c r="C12" s="118">
        <v>-0.025173393999999998</v>
      </c>
      <c r="D12" s="118">
        <v>-0.0149400832</v>
      </c>
      <c r="E12" s="118">
        <v>-0.0032272275599999995</v>
      </c>
      <c r="F12" s="154">
        <v>0.0116161356</v>
      </c>
      <c r="G12" s="160">
        <v>-0.00789713042312674</v>
      </c>
    </row>
    <row r="13" spans="1:7" ht="12.75">
      <c r="A13" s="140" t="s">
        <v>109</v>
      </c>
      <c r="B13" s="134">
        <v>-0.0020182249999999994</v>
      </c>
      <c r="C13" s="118">
        <v>-0.003095566</v>
      </c>
      <c r="D13" s="118">
        <v>0.006492035</v>
      </c>
      <c r="E13" s="118">
        <v>0.003458207</v>
      </c>
      <c r="F13" s="154">
        <v>-0.01453217</v>
      </c>
      <c r="G13" s="160">
        <v>-0.000586393043204377</v>
      </c>
    </row>
    <row r="14" spans="1:7" ht="12.75">
      <c r="A14" s="140" t="s">
        <v>111</v>
      </c>
      <c r="B14" s="134">
        <v>0.026697798000000002</v>
      </c>
      <c r="C14" s="118">
        <v>0.035207709999999996</v>
      </c>
      <c r="D14" s="118">
        <v>0.022247777</v>
      </c>
      <c r="E14" s="118">
        <v>0.021363398</v>
      </c>
      <c r="F14" s="154">
        <v>-0.0198662299</v>
      </c>
      <c r="G14" s="160">
        <v>0.020161808003963614</v>
      </c>
    </row>
    <row r="15" spans="1:7" ht="12.75">
      <c r="A15" s="140" t="s">
        <v>113</v>
      </c>
      <c r="B15" s="135">
        <v>-0.19140726999999996</v>
      </c>
      <c r="C15" s="119">
        <v>-0.18245558</v>
      </c>
      <c r="D15" s="119">
        <v>-0.17718156000000002</v>
      </c>
      <c r="E15" s="119">
        <v>-0.18055780999999999</v>
      </c>
      <c r="F15" s="154">
        <v>-0.14018317000000002</v>
      </c>
      <c r="G15" s="160">
        <v>-0.1763662794865366</v>
      </c>
    </row>
    <row r="16" spans="1:7" ht="12.75">
      <c r="A16" s="140" t="s">
        <v>115</v>
      </c>
      <c r="B16" s="134">
        <v>-0.0052131812</v>
      </c>
      <c r="C16" s="118">
        <v>-0.0012457055</v>
      </c>
      <c r="D16" s="118">
        <v>0.00111879481</v>
      </c>
      <c r="E16" s="118">
        <v>-0.00039994177999999993</v>
      </c>
      <c r="F16" s="154">
        <v>0.0005851092</v>
      </c>
      <c r="G16" s="160">
        <v>-0.0008009366683080245</v>
      </c>
    </row>
    <row r="17" spans="1:7" ht="12.75">
      <c r="A17" s="140" t="s">
        <v>92</v>
      </c>
      <c r="B17" s="133">
        <v>2.6312006</v>
      </c>
      <c r="C17" s="117">
        <v>-2.2302836</v>
      </c>
      <c r="D17" s="117">
        <v>-0.103461858</v>
      </c>
      <c r="E17" s="117">
        <v>-1.6799776000000002</v>
      </c>
      <c r="F17" s="155">
        <v>6.4301446</v>
      </c>
      <c r="G17" s="160">
        <v>0.27418112471142503</v>
      </c>
    </row>
    <row r="18" spans="1:7" ht="12.75">
      <c r="A18" s="140" t="s">
        <v>94</v>
      </c>
      <c r="B18" s="134">
        <v>-0.71739286</v>
      </c>
      <c r="C18" s="118">
        <v>-0.057131280000000007</v>
      </c>
      <c r="D18" s="118">
        <v>-1.7073472000000003</v>
      </c>
      <c r="E18" s="118">
        <v>-0.92267864</v>
      </c>
      <c r="F18" s="153">
        <v>-2.6443204</v>
      </c>
      <c r="G18" s="160">
        <v>-1.1038855092502355</v>
      </c>
    </row>
    <row r="19" spans="1:7" ht="12.75">
      <c r="A19" s="140" t="s">
        <v>96</v>
      </c>
      <c r="B19" s="134">
        <v>1.2037306</v>
      </c>
      <c r="C19" s="118">
        <v>0.053435595</v>
      </c>
      <c r="D19" s="118">
        <v>0.83710565</v>
      </c>
      <c r="E19" s="118">
        <v>0.22049771</v>
      </c>
      <c r="F19" s="154">
        <v>-1.4813477</v>
      </c>
      <c r="G19" s="160">
        <v>0.24287184580467103</v>
      </c>
    </row>
    <row r="20" spans="1:7" ht="12.75">
      <c r="A20" s="140" t="s">
        <v>98</v>
      </c>
      <c r="B20" s="133">
        <v>0.5398258599999999</v>
      </c>
      <c r="C20" s="117">
        <v>-0.23552442999999998</v>
      </c>
      <c r="D20" s="117">
        <v>-0.23870121000000002</v>
      </c>
      <c r="E20" s="117">
        <v>-0.2068495</v>
      </c>
      <c r="F20" s="156">
        <v>1.4413106999999998</v>
      </c>
      <c r="G20" s="160">
        <v>0.10685681141461711</v>
      </c>
    </row>
    <row r="21" spans="1:7" ht="12.75">
      <c r="A21" s="140" t="s">
        <v>100</v>
      </c>
      <c r="B21" s="134">
        <v>0.15071218</v>
      </c>
      <c r="C21" s="118">
        <v>0.05531941729999999</v>
      </c>
      <c r="D21" s="118">
        <v>-0.39033347</v>
      </c>
      <c r="E21" s="118">
        <v>-0.2396054</v>
      </c>
      <c r="F21" s="154">
        <v>0.20174140000000002</v>
      </c>
      <c r="G21" s="160">
        <v>-0.08951434204792234</v>
      </c>
    </row>
    <row r="22" spans="1:7" ht="12.75">
      <c r="A22" s="140" t="s">
        <v>102</v>
      </c>
      <c r="B22" s="134">
        <v>-0.074371995</v>
      </c>
      <c r="C22" s="118">
        <v>-0.05333742</v>
      </c>
      <c r="D22" s="118">
        <v>0.028944730000000002</v>
      </c>
      <c r="E22" s="118">
        <v>-0.030616110000000002</v>
      </c>
      <c r="F22" s="154">
        <v>-0.037055192</v>
      </c>
      <c r="G22" s="160">
        <v>-0.028929640645961152</v>
      </c>
    </row>
    <row r="23" spans="1:7" ht="12.75">
      <c r="A23" s="140" t="s">
        <v>104</v>
      </c>
      <c r="B23" s="134">
        <v>0.07360717689999999</v>
      </c>
      <c r="C23" s="118">
        <v>-0.12199657899999998</v>
      </c>
      <c r="D23" s="118">
        <v>-0.16723146</v>
      </c>
      <c r="E23" s="118">
        <v>-0.0963079</v>
      </c>
      <c r="F23" s="154">
        <v>0.055380359000000004</v>
      </c>
      <c r="G23" s="160">
        <v>-0.0747381998591319</v>
      </c>
    </row>
    <row r="24" spans="1:7" ht="12.75">
      <c r="A24" s="140" t="s">
        <v>106</v>
      </c>
      <c r="B24" s="133">
        <v>0.12462909</v>
      </c>
      <c r="C24" s="117">
        <v>-0.018984685</v>
      </c>
      <c r="D24" s="117">
        <v>0.006605657819999999</v>
      </c>
      <c r="E24" s="117">
        <v>0.040516487</v>
      </c>
      <c r="F24" s="156">
        <v>0.36362641</v>
      </c>
      <c r="G24" s="160">
        <v>0.07340561450592555</v>
      </c>
    </row>
    <row r="25" spans="1:7" ht="12.75">
      <c r="A25" s="140" t="s">
        <v>108</v>
      </c>
      <c r="B25" s="134">
        <v>-0.025368675</v>
      </c>
      <c r="C25" s="118">
        <v>-0.034216590000000005</v>
      </c>
      <c r="D25" s="118">
        <v>-0.08796436299999999</v>
      </c>
      <c r="E25" s="118">
        <v>-0.04613611</v>
      </c>
      <c r="F25" s="154">
        <v>0.01990321</v>
      </c>
      <c r="G25" s="160">
        <v>-0.041499346535103177</v>
      </c>
    </row>
    <row r="26" spans="1:7" ht="12.75">
      <c r="A26" s="140" t="s">
        <v>110</v>
      </c>
      <c r="B26" s="134">
        <v>0.023717349399999997</v>
      </c>
      <c r="C26" s="118">
        <v>-0.015240068999999998</v>
      </c>
      <c r="D26" s="118">
        <v>0.011166873000000003</v>
      </c>
      <c r="E26" s="118">
        <v>-0.0001095989999999998</v>
      </c>
      <c r="F26" s="154">
        <v>-0.005014991</v>
      </c>
      <c r="G26" s="160">
        <v>0.0017448429266973943</v>
      </c>
    </row>
    <row r="27" spans="1:7" ht="12.75">
      <c r="A27" s="140" t="s">
        <v>112</v>
      </c>
      <c r="B27" s="134">
        <v>0.05640527199999999</v>
      </c>
      <c r="C27" s="118">
        <v>0.02382208</v>
      </c>
      <c r="D27" s="118">
        <v>-0.011932595099999999</v>
      </c>
      <c r="E27" s="118">
        <v>0.0204438847</v>
      </c>
      <c r="F27" s="154">
        <v>0.039080796999999994</v>
      </c>
      <c r="G27" s="160">
        <v>0.021150181237038723</v>
      </c>
    </row>
    <row r="28" spans="1:7" ht="12.75">
      <c r="A28" s="140" t="s">
        <v>114</v>
      </c>
      <c r="B28" s="134">
        <v>0.020667357</v>
      </c>
      <c r="C28" s="118">
        <v>0.009993407299999998</v>
      </c>
      <c r="D28" s="118">
        <v>0.010152868800000001</v>
      </c>
      <c r="E28" s="118">
        <v>0.014780916</v>
      </c>
      <c r="F28" s="154">
        <v>-0.0107863383</v>
      </c>
      <c r="G28" s="160">
        <v>0.009944064333810647</v>
      </c>
    </row>
    <row r="29" spans="1:7" ht="13.5" thickBot="1">
      <c r="A29" s="141" t="s">
        <v>116</v>
      </c>
      <c r="B29" s="136">
        <v>-0.0023984852</v>
      </c>
      <c r="C29" s="120">
        <v>-0.0078163937</v>
      </c>
      <c r="D29" s="120">
        <v>-0.0015758391</v>
      </c>
      <c r="E29" s="120">
        <v>-0.004175438875</v>
      </c>
      <c r="F29" s="157">
        <v>0.005096864045000001</v>
      </c>
      <c r="G29" s="161">
        <v>-0.002929185654360344</v>
      </c>
    </row>
    <row r="30" spans="1:7" ht="13.5" thickTop="1">
      <c r="A30" s="142" t="s">
        <v>117</v>
      </c>
      <c r="B30" s="137">
        <v>0.0027312002712002524</v>
      </c>
      <c r="C30" s="126">
        <v>0.3202427630594699</v>
      </c>
      <c r="D30" s="126">
        <v>0.2817164238490701</v>
      </c>
      <c r="E30" s="126">
        <v>0.22396445239512475</v>
      </c>
      <c r="F30" s="122">
        <v>0.29057532141367903</v>
      </c>
      <c r="G30" s="162" t="s">
        <v>128</v>
      </c>
    </row>
    <row r="31" spans="1:7" ht="13.5" thickBot="1">
      <c r="A31" s="143" t="s">
        <v>118</v>
      </c>
      <c r="B31" s="132">
        <v>16.073609</v>
      </c>
      <c r="C31" s="123">
        <v>16.018677</v>
      </c>
      <c r="D31" s="123">
        <v>15.945435</v>
      </c>
      <c r="E31" s="123">
        <v>15.893555</v>
      </c>
      <c r="F31" s="124">
        <v>15.90271</v>
      </c>
      <c r="G31" s="164">
        <v>-209.24</v>
      </c>
    </row>
    <row r="32" spans="1:7" ht="15.75" thickBot="1" thickTop="1">
      <c r="A32" s="144" t="s">
        <v>119</v>
      </c>
      <c r="B32" s="138">
        <v>-0.3020000010728836</v>
      </c>
      <c r="C32" s="127">
        <v>0.36899998784065247</v>
      </c>
      <c r="D32" s="127">
        <v>-0.16350000351667404</v>
      </c>
      <c r="E32" s="127">
        <v>0.28450000286102295</v>
      </c>
      <c r="F32" s="125">
        <v>-0.06100000161677599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4.16015625" style="165" bestFit="1" customWidth="1"/>
    <col min="2" max="2" width="14.83203125" style="165" bestFit="1" customWidth="1"/>
    <col min="3" max="3" width="15.33203125" style="165" bestFit="1" customWidth="1"/>
    <col min="4" max="4" width="16" style="165" bestFit="1" customWidth="1"/>
    <col min="5" max="5" width="22.16015625" style="165" bestFit="1" customWidth="1"/>
    <col min="6" max="6" width="15.33203125" style="165" bestFit="1" customWidth="1"/>
    <col min="7" max="7" width="14.83203125" style="165" bestFit="1" customWidth="1"/>
    <col min="8" max="8" width="14.16015625" style="165" bestFit="1" customWidth="1"/>
    <col min="9" max="9" width="14.83203125" style="165" bestFit="1" customWidth="1"/>
    <col min="10" max="10" width="8.160156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0.002244*1.0033</f>
        <v>0.0022514052000000002</v>
      </c>
      <c r="C4" s="165">
        <f>0.003742*1.0033</f>
        <v>0.0037543486000000004</v>
      </c>
      <c r="D4" s="165">
        <f>0.003742*1.0033</f>
        <v>0.0037543486000000004</v>
      </c>
      <c r="E4" s="165">
        <f>0.003741*1.0033</f>
        <v>0.0037533453000000005</v>
      </c>
      <c r="F4" s="165">
        <f>0.00208*1.0033</f>
        <v>0.002086864</v>
      </c>
      <c r="G4" s="165">
        <f>0.011661*1.0033</f>
        <v>0.0116994813</v>
      </c>
    </row>
    <row r="5" spans="1:7" ht="12.75">
      <c r="A5" s="165" t="s">
        <v>136</v>
      </c>
      <c r="B5" s="165">
        <v>3.991177</v>
      </c>
      <c r="C5" s="165">
        <v>-1.097414</v>
      </c>
      <c r="D5" s="165">
        <v>-1.07663</v>
      </c>
      <c r="E5" s="165">
        <v>0.432346</v>
      </c>
      <c r="F5" s="165">
        <v>-1.147014</v>
      </c>
      <c r="G5" s="165">
        <v>4.190681</v>
      </c>
    </row>
    <row r="6" spans="1:7" ht="12.75">
      <c r="A6" s="165" t="s">
        <v>137</v>
      </c>
      <c r="B6" s="166">
        <v>-1.535236</v>
      </c>
      <c r="C6" s="166">
        <v>-26.62647</v>
      </c>
      <c r="D6" s="166">
        <v>-4.333444</v>
      </c>
      <c r="E6" s="166">
        <v>17.25434</v>
      </c>
      <c r="F6" s="166">
        <v>26.31221</v>
      </c>
      <c r="G6" s="166">
        <v>-0.0007725587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-0.832186</v>
      </c>
      <c r="C8" s="166">
        <v>1.627364</v>
      </c>
      <c r="D8" s="166">
        <v>2.223606</v>
      </c>
      <c r="E8" s="166">
        <v>1.968802</v>
      </c>
      <c r="F8" s="166">
        <v>0.1619554</v>
      </c>
      <c r="G8" s="166">
        <v>1.301963</v>
      </c>
    </row>
    <row r="9" spans="1:7" ht="12.75">
      <c r="A9" s="165" t="s">
        <v>93</v>
      </c>
      <c r="B9" s="166">
        <v>-0.5420268</v>
      </c>
      <c r="C9" s="166">
        <v>-0.05811901</v>
      </c>
      <c r="D9" s="166">
        <v>0.02339487</v>
      </c>
      <c r="E9" s="166">
        <v>-0.05649781</v>
      </c>
      <c r="F9" s="166">
        <v>-3.278908</v>
      </c>
      <c r="G9" s="166">
        <v>-0.5388633</v>
      </c>
    </row>
    <row r="10" spans="1:7" ht="12.75">
      <c r="A10" s="165" t="s">
        <v>95</v>
      </c>
      <c r="B10" s="166">
        <v>-0.08281001</v>
      </c>
      <c r="C10" s="166">
        <v>-0.8014579</v>
      </c>
      <c r="D10" s="166">
        <v>-0.7343675</v>
      </c>
      <c r="E10" s="166">
        <v>-0.6296644</v>
      </c>
      <c r="F10" s="166">
        <v>-0.6653509</v>
      </c>
      <c r="G10" s="166">
        <v>-0.6220514</v>
      </c>
    </row>
    <row r="11" spans="1:7" ht="12.75">
      <c r="A11" s="165" t="s">
        <v>97</v>
      </c>
      <c r="B11" s="166">
        <v>3.394939</v>
      </c>
      <c r="C11" s="166">
        <v>3.406629</v>
      </c>
      <c r="D11" s="166">
        <v>3.208076</v>
      </c>
      <c r="E11" s="166">
        <v>3.344318</v>
      </c>
      <c r="F11" s="166">
        <v>14.69696</v>
      </c>
      <c r="G11" s="166">
        <v>4.852654</v>
      </c>
    </row>
    <row r="12" spans="1:7" ht="12.75">
      <c r="A12" s="165" t="s">
        <v>99</v>
      </c>
      <c r="B12" s="166">
        <v>-0.03015522</v>
      </c>
      <c r="C12" s="166">
        <v>-0.1780106</v>
      </c>
      <c r="D12" s="166">
        <v>-0.03557473</v>
      </c>
      <c r="E12" s="166">
        <v>0.05419586</v>
      </c>
      <c r="F12" s="166">
        <v>-0.06722651</v>
      </c>
      <c r="G12" s="166">
        <v>-0.05171003</v>
      </c>
    </row>
    <row r="13" spans="1:7" ht="12.75">
      <c r="A13" s="165" t="s">
        <v>101</v>
      </c>
      <c r="B13" s="166">
        <v>-0.07068883</v>
      </c>
      <c r="C13" s="166">
        <v>-0.05985047</v>
      </c>
      <c r="D13" s="166">
        <v>-0.0515122</v>
      </c>
      <c r="E13" s="166">
        <v>-0.09551721</v>
      </c>
      <c r="F13" s="166">
        <v>-0.2956983</v>
      </c>
      <c r="G13" s="166">
        <v>-0.09954382</v>
      </c>
    </row>
    <row r="14" spans="1:7" ht="12.75">
      <c r="A14" s="165" t="s">
        <v>103</v>
      </c>
      <c r="B14" s="166">
        <v>-0.007738864</v>
      </c>
      <c r="C14" s="166">
        <v>-0.0863808</v>
      </c>
      <c r="D14" s="166">
        <v>-0.08384223</v>
      </c>
      <c r="E14" s="166">
        <v>-0.04348949</v>
      </c>
      <c r="F14" s="166">
        <v>-0.09824059</v>
      </c>
      <c r="G14" s="166">
        <v>-0.06568882</v>
      </c>
    </row>
    <row r="15" spans="1:7" ht="12.75">
      <c r="A15" s="165" t="s">
        <v>105</v>
      </c>
      <c r="B15" s="166">
        <v>-0.302589</v>
      </c>
      <c r="C15" s="166">
        <v>-0.008807852</v>
      </c>
      <c r="D15" s="166">
        <v>-0.001817037</v>
      </c>
      <c r="E15" s="166">
        <v>-0.0007523865</v>
      </c>
      <c r="F15" s="166">
        <v>-0.2482076</v>
      </c>
      <c r="G15" s="166">
        <v>-0.07961272</v>
      </c>
    </row>
    <row r="16" spans="1:7" ht="12.75">
      <c r="A16" s="165" t="s">
        <v>107</v>
      </c>
      <c r="B16" s="166">
        <v>0.008775499</v>
      </c>
      <c r="C16" s="166">
        <v>-0.02437481</v>
      </c>
      <c r="D16" s="166">
        <v>-0.01706604</v>
      </c>
      <c r="E16" s="166">
        <v>-0.00332778</v>
      </c>
      <c r="F16" s="166">
        <v>0.003362927</v>
      </c>
      <c r="G16" s="166">
        <v>-0.009058207</v>
      </c>
    </row>
    <row r="17" spans="1:7" ht="12.75">
      <c r="A17" s="165" t="s">
        <v>109</v>
      </c>
      <c r="B17" s="166">
        <v>0.006577434</v>
      </c>
      <c r="C17" s="166">
        <v>-0.006151442</v>
      </c>
      <c r="D17" s="166">
        <v>0.008091672</v>
      </c>
      <c r="E17" s="166">
        <v>0.003351139</v>
      </c>
      <c r="F17" s="166">
        <v>-0.006603431</v>
      </c>
      <c r="G17" s="166">
        <v>0.001338736</v>
      </c>
    </row>
    <row r="18" spans="1:7" ht="12.75">
      <c r="A18" s="165" t="s">
        <v>111</v>
      </c>
      <c r="B18" s="166">
        <v>0.02496582</v>
      </c>
      <c r="C18" s="166">
        <v>0.03745728</v>
      </c>
      <c r="D18" s="166">
        <v>0.02211989</v>
      </c>
      <c r="E18" s="166">
        <v>0.02011779</v>
      </c>
      <c r="F18" s="166">
        <v>-0.02060369</v>
      </c>
      <c r="G18" s="166">
        <v>0.02002531</v>
      </c>
    </row>
    <row r="19" spans="1:7" ht="12.75">
      <c r="A19" s="165" t="s">
        <v>113</v>
      </c>
      <c r="B19" s="166">
        <v>-0.1922659</v>
      </c>
      <c r="C19" s="166">
        <v>-0.1822504</v>
      </c>
      <c r="D19" s="166">
        <v>-0.1769925</v>
      </c>
      <c r="E19" s="166">
        <v>-0.180647</v>
      </c>
      <c r="F19" s="166">
        <v>-0.1402541</v>
      </c>
      <c r="G19" s="166">
        <v>-0.176426</v>
      </c>
    </row>
    <row r="20" spans="1:7" ht="12.75">
      <c r="A20" s="165" t="s">
        <v>115</v>
      </c>
      <c r="B20" s="166">
        <v>-0.005061996</v>
      </c>
      <c r="C20" s="166">
        <v>-0.001374874</v>
      </c>
      <c r="D20" s="166">
        <v>0.0010964</v>
      </c>
      <c r="E20" s="166">
        <v>-0.0003690162</v>
      </c>
      <c r="F20" s="166">
        <v>0.0006734698</v>
      </c>
      <c r="G20" s="166">
        <v>-0.0007964867</v>
      </c>
    </row>
    <row r="21" spans="1:7" ht="12.75">
      <c r="A21" s="165" t="s">
        <v>139</v>
      </c>
      <c r="B21" s="166">
        <v>-132.1865</v>
      </c>
      <c r="C21" s="166">
        <v>54.03133</v>
      </c>
      <c r="D21" s="166">
        <v>105.5832</v>
      </c>
      <c r="E21" s="166">
        <v>12.77119</v>
      </c>
      <c r="F21" s="166">
        <v>-167.4581</v>
      </c>
      <c r="G21" s="166">
        <v>0.0004501946</v>
      </c>
    </row>
    <row r="22" spans="1:7" ht="12.75">
      <c r="A22" s="165" t="s">
        <v>140</v>
      </c>
      <c r="B22" s="166">
        <v>79.82523</v>
      </c>
      <c r="C22" s="166">
        <v>-21.94832</v>
      </c>
      <c r="D22" s="166">
        <v>-21.53263</v>
      </c>
      <c r="E22" s="166">
        <v>8.646915</v>
      </c>
      <c r="F22" s="166">
        <v>-22.94033</v>
      </c>
      <c r="G22" s="166">
        <v>0</v>
      </c>
    </row>
    <row r="23" spans="1:7" ht="12.75">
      <c r="A23" s="165" t="s">
        <v>92</v>
      </c>
      <c r="B23" s="166">
        <v>2.663847</v>
      </c>
      <c r="C23" s="166">
        <v>-2.222938</v>
      </c>
      <c r="D23" s="166">
        <v>-0.09355725</v>
      </c>
      <c r="E23" s="166">
        <v>-1.668652</v>
      </c>
      <c r="F23" s="166">
        <v>6.587845</v>
      </c>
      <c r="G23" s="166">
        <v>0.3068037</v>
      </c>
    </row>
    <row r="24" spans="1:7" ht="12.75">
      <c r="A24" s="165" t="s">
        <v>94</v>
      </c>
      <c r="B24" s="166">
        <v>-0.7227737</v>
      </c>
      <c r="C24" s="166">
        <v>-0.07536996</v>
      </c>
      <c r="D24" s="166">
        <v>-1.741605</v>
      </c>
      <c r="E24" s="166">
        <v>-0.9254116</v>
      </c>
      <c r="F24" s="166">
        <v>-2.587217</v>
      </c>
      <c r="G24" s="166">
        <v>-1.110293</v>
      </c>
    </row>
    <row r="25" spans="1:7" ht="12.75">
      <c r="A25" s="165" t="s">
        <v>96</v>
      </c>
      <c r="B25" s="166">
        <v>0.970824</v>
      </c>
      <c r="C25" s="166">
        <v>0.1510906</v>
      </c>
      <c r="D25" s="166">
        <v>1.008689</v>
      </c>
      <c r="E25" s="166">
        <v>0.2371481</v>
      </c>
      <c r="F25" s="166">
        <v>-2.692523</v>
      </c>
      <c r="G25" s="166">
        <v>0.1160325</v>
      </c>
    </row>
    <row r="26" spans="1:7" ht="12.75">
      <c r="A26" s="165" t="s">
        <v>98</v>
      </c>
      <c r="B26" s="166">
        <v>0.6271871</v>
      </c>
      <c r="C26" s="166">
        <v>-0.2621244</v>
      </c>
      <c r="D26" s="166">
        <v>-0.2578027</v>
      </c>
      <c r="E26" s="166">
        <v>-0.1977558</v>
      </c>
      <c r="F26" s="166">
        <v>1.354595</v>
      </c>
      <c r="G26" s="166">
        <v>0.09894441</v>
      </c>
    </row>
    <row r="27" spans="1:7" ht="12.75">
      <c r="A27" s="165" t="s">
        <v>100</v>
      </c>
      <c r="B27" s="166">
        <v>0.1457396</v>
      </c>
      <c r="C27" s="166">
        <v>0.04617817</v>
      </c>
      <c r="D27" s="166">
        <v>-0.4041855</v>
      </c>
      <c r="E27" s="166">
        <v>-0.2501588</v>
      </c>
      <c r="F27" s="166">
        <v>0.2341804</v>
      </c>
      <c r="G27" s="166">
        <v>-0.09396453</v>
      </c>
    </row>
    <row r="28" spans="1:7" ht="12.75">
      <c r="A28" s="165" t="s">
        <v>102</v>
      </c>
      <c r="B28" s="166">
        <v>-0.08278134</v>
      </c>
      <c r="C28" s="166">
        <v>-0.05567119</v>
      </c>
      <c r="D28" s="166">
        <v>0.02141207</v>
      </c>
      <c r="E28" s="166">
        <v>-0.03473615</v>
      </c>
      <c r="F28" s="166">
        <v>-0.02685753</v>
      </c>
      <c r="G28" s="166">
        <v>-0.03214175</v>
      </c>
    </row>
    <row r="29" spans="1:7" ht="12.75">
      <c r="A29" s="165" t="s">
        <v>104</v>
      </c>
      <c r="B29" s="166">
        <v>0.1068105</v>
      </c>
      <c r="C29" s="166">
        <v>-0.1218467</v>
      </c>
      <c r="D29" s="166">
        <v>-0.1674296</v>
      </c>
      <c r="E29" s="166">
        <v>-0.09649147</v>
      </c>
      <c r="F29" s="166">
        <v>0.09994928</v>
      </c>
      <c r="G29" s="166">
        <v>-0.06403837</v>
      </c>
    </row>
    <row r="30" spans="1:7" ht="12.75">
      <c r="A30" s="165" t="s">
        <v>106</v>
      </c>
      <c r="B30" s="166">
        <v>0.1139979</v>
      </c>
      <c r="C30" s="166">
        <v>-0.01867068</v>
      </c>
      <c r="D30" s="166">
        <v>0.00605778</v>
      </c>
      <c r="E30" s="166">
        <v>0.04045996</v>
      </c>
      <c r="F30" s="166">
        <v>0.3680587</v>
      </c>
      <c r="G30" s="166">
        <v>0.0723951</v>
      </c>
    </row>
    <row r="31" spans="1:7" ht="12.75">
      <c r="A31" s="165" t="s">
        <v>141</v>
      </c>
      <c r="B31" s="166">
        <v>-0.01828817</v>
      </c>
      <c r="C31" s="166">
        <v>-0.02862239</v>
      </c>
      <c r="D31" s="166">
        <v>-0.08136039</v>
      </c>
      <c r="E31" s="166">
        <v>-0.04016587</v>
      </c>
      <c r="F31" s="166">
        <v>0.03056364</v>
      </c>
      <c r="G31" s="166">
        <v>-0.03467937</v>
      </c>
    </row>
    <row r="32" spans="1:7" ht="12.75">
      <c r="A32" s="165" t="s">
        <v>110</v>
      </c>
      <c r="B32" s="166">
        <v>0.01772317</v>
      </c>
      <c r="C32" s="166">
        <v>-0.01425499</v>
      </c>
      <c r="D32" s="166">
        <v>0.01309007</v>
      </c>
      <c r="E32" s="166">
        <v>-0.0001781759</v>
      </c>
      <c r="F32" s="166">
        <v>-0.002234882</v>
      </c>
      <c r="G32" s="166">
        <v>0.001934876</v>
      </c>
    </row>
    <row r="33" spans="1:7" ht="12.75">
      <c r="A33" s="165" t="s">
        <v>112</v>
      </c>
      <c r="B33" s="166">
        <v>0.06779414</v>
      </c>
      <c r="C33" s="166">
        <v>0.01909835</v>
      </c>
      <c r="D33" s="166">
        <v>-0.01992477</v>
      </c>
      <c r="E33" s="166">
        <v>0.01967663</v>
      </c>
      <c r="F33" s="166">
        <v>0.04852577</v>
      </c>
      <c r="G33" s="166">
        <v>0.02081194</v>
      </c>
    </row>
    <row r="34" spans="1:7" ht="12.75">
      <c r="A34" s="165" t="s">
        <v>114</v>
      </c>
      <c r="B34" s="166">
        <v>0.01005031</v>
      </c>
      <c r="C34" s="166">
        <v>0.01283375</v>
      </c>
      <c r="D34" s="166">
        <v>0.01286762</v>
      </c>
      <c r="E34" s="166">
        <v>0.01371203</v>
      </c>
      <c r="F34" s="166">
        <v>-0.008498394</v>
      </c>
      <c r="G34" s="166">
        <v>0.009806071</v>
      </c>
    </row>
    <row r="35" spans="1:7" ht="12.75">
      <c r="A35" s="165" t="s">
        <v>116</v>
      </c>
      <c r="B35" s="166">
        <v>-0.002706446</v>
      </c>
      <c r="C35" s="166">
        <v>-0.007795091</v>
      </c>
      <c r="D35" s="166">
        <v>-0.001593943</v>
      </c>
      <c r="E35" s="166">
        <v>-0.004177236</v>
      </c>
      <c r="F35" s="166">
        <v>0.005084837</v>
      </c>
      <c r="G35" s="166">
        <v>-0.002974928</v>
      </c>
    </row>
    <row r="36" spans="1:6" ht="12.75">
      <c r="A36" s="165" t="s">
        <v>142</v>
      </c>
      <c r="B36" s="166">
        <v>15.90271</v>
      </c>
      <c r="C36" s="166">
        <v>15.91797</v>
      </c>
      <c r="D36" s="166">
        <v>15.94544</v>
      </c>
      <c r="E36" s="166">
        <v>15.96069</v>
      </c>
      <c r="F36" s="166">
        <v>15.99121</v>
      </c>
    </row>
    <row r="37" spans="1:6" ht="12.75">
      <c r="A37" s="165" t="s">
        <v>143</v>
      </c>
      <c r="B37" s="166">
        <v>-0.07578532</v>
      </c>
      <c r="C37" s="166">
        <v>-0.06103516</v>
      </c>
      <c r="D37" s="166">
        <v>-0.05035401</v>
      </c>
      <c r="E37" s="166">
        <v>-0.04221598</v>
      </c>
      <c r="F37" s="166">
        <v>-0.03611247</v>
      </c>
    </row>
    <row r="38" spans="1:7" ht="12.75">
      <c r="A38" s="165" t="s">
        <v>144</v>
      </c>
      <c r="B38" s="166">
        <v>0</v>
      </c>
      <c r="C38" s="166">
        <v>4.546639E-05</v>
      </c>
      <c r="D38" s="166">
        <v>0</v>
      </c>
      <c r="E38" s="166">
        <v>-2.935114E-05</v>
      </c>
      <c r="F38" s="166">
        <v>-4.538358E-05</v>
      </c>
      <c r="G38" s="166">
        <v>0.0002199597</v>
      </c>
    </row>
    <row r="39" spans="1:7" ht="12.75">
      <c r="A39" s="165" t="s">
        <v>145</v>
      </c>
      <c r="B39" s="166">
        <v>0.000224682</v>
      </c>
      <c r="C39" s="166">
        <v>-9.175347E-05</v>
      </c>
      <c r="D39" s="166">
        <v>-0.0001794748</v>
      </c>
      <c r="E39" s="166">
        <v>-2.168565E-05</v>
      </c>
      <c r="F39" s="166">
        <v>0.0002845747</v>
      </c>
      <c r="G39" s="166">
        <v>0.0003837067</v>
      </c>
    </row>
    <row r="40" spans="2:5" ht="12.75">
      <c r="B40" s="165" t="s">
        <v>146</v>
      </c>
      <c r="C40" s="165" t="s">
        <v>147</v>
      </c>
      <c r="D40" s="165" t="s">
        <v>148</v>
      </c>
      <c r="E40" s="165">
        <v>3.116439</v>
      </c>
    </row>
    <row r="42" ht="12.75">
      <c r="A42" s="165" t="s">
        <v>149</v>
      </c>
    </row>
    <row r="43" spans="1:6" ht="12.75">
      <c r="A43" s="165" t="s">
        <v>150</v>
      </c>
      <c r="B43" s="165">
        <v>10</v>
      </c>
      <c r="C43" s="165">
        <v>10</v>
      </c>
      <c r="D43" s="165">
        <v>10</v>
      </c>
      <c r="E43" s="165">
        <v>10</v>
      </c>
      <c r="F43" s="165">
        <v>10</v>
      </c>
    </row>
    <row r="44" spans="1:10" ht="12.75">
      <c r="A44" s="165" t="s">
        <v>151</v>
      </c>
      <c r="B44" s="165">
        <v>12.515</v>
      </c>
      <c r="C44" s="165">
        <v>12.515</v>
      </c>
      <c r="D44" s="165">
        <v>12.515</v>
      </c>
      <c r="E44" s="165">
        <v>12.515</v>
      </c>
      <c r="F44" s="165">
        <v>12.515</v>
      </c>
      <c r="J44" s="165">
        <v>12.515</v>
      </c>
    </row>
    <row r="50" spans="1:7" ht="12.75">
      <c r="A50" s="165" t="s">
        <v>152</v>
      </c>
      <c r="B50" s="165">
        <f>-0.017/(B7*B7+B22*B22)*(B21*B22+B6*B7)</f>
        <v>4.403429630615619E-06</v>
      </c>
      <c r="C50" s="165">
        <f>-0.017/(C7*C7+C22*C22)*(C21*C22+C6*C7)</f>
        <v>4.546638245191092E-05</v>
      </c>
      <c r="D50" s="165">
        <f>-0.017/(D7*D7+D22*D22)*(D21*D22+D6*D7)</f>
        <v>7.753311128019547E-06</v>
      </c>
      <c r="E50" s="165">
        <f>-0.017/(E7*E7+E22*E22)*(E21*E22+E6*E7)</f>
        <v>-2.9351129391457666E-05</v>
      </c>
      <c r="F50" s="165">
        <f>-0.017/(F7*F7+F22*F22)*(F21*F22+F6*F7)</f>
        <v>-4.538358065771943E-05</v>
      </c>
      <c r="G50" s="165">
        <f>(B50*B$4+C50*C$4+D50*D$4+E50*E$4+F50*F$4)/SUM(B$4:F$4)</f>
        <v>3.105644508136688E-07</v>
      </c>
    </row>
    <row r="51" spans="1:7" ht="12.75">
      <c r="A51" s="165" t="s">
        <v>153</v>
      </c>
      <c r="B51" s="165">
        <f>-0.017/(B7*B7+B22*B22)*(B21*B7-B6*B22)</f>
        <v>0.00022468189952169477</v>
      </c>
      <c r="C51" s="165">
        <f>-0.017/(C7*C7+C22*C22)*(C21*C7-C6*C22)</f>
        <v>-9.17534699288703E-05</v>
      </c>
      <c r="D51" s="165">
        <f>-0.017/(D7*D7+D22*D22)*(D21*D7-D6*D22)</f>
        <v>-0.00017947474508202055</v>
      </c>
      <c r="E51" s="165">
        <f>-0.017/(E7*E7+E22*E22)*(E21*E7-E6*E22)</f>
        <v>-2.168564332789981E-05</v>
      </c>
      <c r="F51" s="165">
        <f>-0.017/(F7*F7+F22*F22)*(F21*F7-F6*F22)</f>
        <v>0.000284574658568313</v>
      </c>
      <c r="G51" s="165">
        <f>(B51*B$4+C51*C$4+D51*D$4+E51*E$4+F51*F$4)/SUM(B$4:F$4)</f>
        <v>2.540361974872861E-09</v>
      </c>
    </row>
    <row r="58" ht="12.75">
      <c r="A58" s="165" t="s">
        <v>155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157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160</v>
      </c>
      <c r="B62" s="165">
        <f>B7+(2/0.017)*(B8*B50-B23*B51)</f>
        <v>9999.929154979238</v>
      </c>
      <c r="C62" s="165">
        <f>C7+(2/0.017)*(C8*C50-C23*C51)</f>
        <v>9999.984709185774</v>
      </c>
      <c r="D62" s="165">
        <f>D7+(2/0.017)*(D8*D50-D23*D51)</f>
        <v>10000.000052840653</v>
      </c>
      <c r="E62" s="165">
        <f>E7+(2/0.017)*(E8*E50-E23*E51)</f>
        <v>9999.988944428898</v>
      </c>
      <c r="F62" s="165">
        <f>F7+(2/0.017)*(F8*F50-F23*F51)</f>
        <v>9999.778578369702</v>
      </c>
    </row>
    <row r="63" spans="1:6" ht="12.75">
      <c r="A63" s="165" t="s">
        <v>161</v>
      </c>
      <c r="B63" s="165">
        <f>B8+(3/0.017)*(B9*B50-B24*B51)</f>
        <v>-0.8039494015937737</v>
      </c>
      <c r="C63" s="165">
        <f>C8+(3/0.017)*(C9*C50-C24*C51)</f>
        <v>1.6256773088538612</v>
      </c>
      <c r="D63" s="165">
        <f>D8+(3/0.017)*(D9*D50-D24*D51)</f>
        <v>2.1684778719348246</v>
      </c>
      <c r="E63" s="165">
        <f>E8+(3/0.017)*(E9*E50-E24*E51)</f>
        <v>1.9655531991722135</v>
      </c>
      <c r="F63" s="165">
        <f>F8+(3/0.017)*(F9*F50-F24*F51)</f>
        <v>0.3181433376654782</v>
      </c>
    </row>
    <row r="64" spans="1:6" ht="12.75">
      <c r="A64" s="165" t="s">
        <v>162</v>
      </c>
      <c r="B64" s="165">
        <f>B9+(4/0.017)*(B10*B50-B25*B51)</f>
        <v>-0.5934365008171754</v>
      </c>
      <c r="C64" s="165">
        <f>C9+(4/0.017)*(C10*C50-C25*C51)</f>
        <v>-0.06343108166514598</v>
      </c>
      <c r="D64" s="165">
        <f>D9+(4/0.017)*(D10*D50-D25*D51)</f>
        <v>0.06465143974876054</v>
      </c>
      <c r="E64" s="165">
        <f>E9+(4/0.017)*(E10*E50-E25*E51)</f>
        <v>-0.050939205202333256</v>
      </c>
      <c r="F64" s="165">
        <f>F9+(4/0.017)*(F10*F50-F25*F51)</f>
        <v>-3.091515101259255</v>
      </c>
    </row>
    <row r="65" spans="1:6" ht="12.75">
      <c r="A65" s="165" t="s">
        <v>163</v>
      </c>
      <c r="B65" s="165">
        <f>B10+(5/0.017)*(B11*B50-B26*B51)</f>
        <v>-0.11985948470493253</v>
      </c>
      <c r="C65" s="165">
        <f>C10+(5/0.017)*(C11*C50-C26*C51)</f>
        <v>-0.7629766430197801</v>
      </c>
      <c r="D65" s="165">
        <f>D10+(5/0.017)*(D11*D50-D26*D51)</f>
        <v>-0.7406604007393012</v>
      </c>
      <c r="E65" s="165">
        <f>E10+(5/0.017)*(E11*E50-E26*E51)</f>
        <v>-0.659796156496766</v>
      </c>
      <c r="F65" s="165">
        <f>F10+(5/0.017)*(F11*F50-F26*F51)</f>
        <v>-0.9749050409431236</v>
      </c>
    </row>
    <row r="66" spans="1:6" ht="12.75">
      <c r="A66" s="165" t="s">
        <v>164</v>
      </c>
      <c r="B66" s="165">
        <f>B11+(6/0.017)*(B12*B50-B27*B51)</f>
        <v>3.3833350576872476</v>
      </c>
      <c r="C66" s="165">
        <f>C11+(6/0.017)*(C12*C50-C27*C51)</f>
        <v>3.4052678856396605</v>
      </c>
      <c r="D66" s="165">
        <f>D11+(6/0.017)*(D12*D50-D27*D51)</f>
        <v>3.1823759135782352</v>
      </c>
      <c r="E66" s="165">
        <f>E11+(6/0.017)*(E12*E50-E27*E51)</f>
        <v>3.3418419185135964</v>
      </c>
      <c r="F66" s="165">
        <f>F11+(6/0.017)*(F12*F50-F27*F51)</f>
        <v>14.674516178481953</v>
      </c>
    </row>
    <row r="67" spans="1:6" ht="12.75">
      <c r="A67" s="165" t="s">
        <v>165</v>
      </c>
      <c r="B67" s="165">
        <f>B12+(7/0.017)*(B13*B50-B28*B51)</f>
        <v>-0.0226247865886453</v>
      </c>
      <c r="C67" s="165">
        <f>C12+(7/0.017)*(C13*C50-C28*C51)</f>
        <v>-0.18123439203033012</v>
      </c>
      <c r="D67" s="165">
        <f>D12+(7/0.017)*(D13*D50-D28*D51)</f>
        <v>-0.03415680353881898</v>
      </c>
      <c r="E67" s="165">
        <f>E12+(7/0.017)*(E13*E50-E28*E51)</f>
        <v>0.055040085624256246</v>
      </c>
      <c r="F67" s="165">
        <f>F12+(7/0.017)*(F13*F50-F28*F51)</f>
        <v>-0.05855358408547229</v>
      </c>
    </row>
    <row r="68" spans="1:6" ht="12.75">
      <c r="A68" s="165" t="s">
        <v>166</v>
      </c>
      <c r="B68" s="165">
        <f>B13+(8/0.017)*(B14*B50-B29*B51)</f>
        <v>-0.08199822462207382</v>
      </c>
      <c r="C68" s="165">
        <f>C13+(8/0.017)*(C14*C50-C29*C51)</f>
        <v>-0.0669597782417337</v>
      </c>
      <c r="D68" s="165">
        <f>D13+(8/0.017)*(D14*D50-D29*D51)</f>
        <v>-0.06595899514072548</v>
      </c>
      <c r="E68" s="165">
        <f>E13+(8/0.017)*(E14*E50-E29*E51)</f>
        <v>-0.09590121656679823</v>
      </c>
      <c r="F68" s="165">
        <f>F13+(8/0.017)*(F14*F50-F29*F51)</f>
        <v>-0.3069851341129515</v>
      </c>
    </row>
    <row r="69" spans="1:6" ht="12.75">
      <c r="A69" s="165" t="s">
        <v>167</v>
      </c>
      <c r="B69" s="165">
        <f>B14+(9/0.017)*(B15*B50-B30*B51)</f>
        <v>-0.022004231455167236</v>
      </c>
      <c r="C69" s="165">
        <f>C14+(9/0.017)*(C15*C50-C30*C51)</f>
        <v>-0.08749974397599355</v>
      </c>
      <c r="D69" s="165">
        <f>D14+(9/0.017)*(D15*D50-D30*D51)</f>
        <v>-0.08327410210513897</v>
      </c>
      <c r="E69" s="165">
        <f>E14+(9/0.017)*(E15*E50-E30*E51)</f>
        <v>-0.04301329277081089</v>
      </c>
      <c r="F69" s="165">
        <f>F14+(9/0.017)*(F15*F50-F30*F51)</f>
        <v>-0.14772768783883786</v>
      </c>
    </row>
    <row r="70" spans="1:6" ht="12.75">
      <c r="A70" s="165" t="s">
        <v>168</v>
      </c>
      <c r="B70" s="165">
        <f>B15+(10/0.017)*(B16*B50-B31*B51)</f>
        <v>-0.30014919819606134</v>
      </c>
      <c r="C70" s="165">
        <f>C15+(10/0.017)*(C16*C50-C31*C51)</f>
        <v>-0.011004580255182389</v>
      </c>
      <c r="D70" s="165">
        <f>D15+(10/0.017)*(D16*D50-D31*D51)</f>
        <v>-0.010484362631098237</v>
      </c>
      <c r="E70" s="165">
        <f>E15+(10/0.017)*(E16*E50-E31*E51)</f>
        <v>-0.00120729745847558</v>
      </c>
      <c r="F70" s="165">
        <f>F15+(10/0.017)*(F16*F50-F31*F51)</f>
        <v>-0.2534136347566796</v>
      </c>
    </row>
    <row r="71" spans="1:6" ht="12.75">
      <c r="A71" s="165" t="s">
        <v>169</v>
      </c>
      <c r="B71" s="165">
        <f>B16+(11/0.017)*(B17*B50-B32*B51)</f>
        <v>0.006217602848991421</v>
      </c>
      <c r="C71" s="165">
        <f>C16+(11/0.017)*(C17*C50-C32*C51)</f>
        <v>-0.025402099101173237</v>
      </c>
      <c r="D71" s="165">
        <f>D16+(11/0.017)*(D17*D50-D32*D51)</f>
        <v>-0.015505286088465027</v>
      </c>
      <c r="E71" s="165">
        <f>E16+(11/0.017)*(E17*E50-E32*E51)</f>
        <v>-0.003393924665150745</v>
      </c>
      <c r="F71" s="165">
        <f>F16+(11/0.017)*(F17*F50-F32*F51)</f>
        <v>0.00396836578708607</v>
      </c>
    </row>
    <row r="72" spans="1:6" ht="12.75">
      <c r="A72" s="165" t="s">
        <v>170</v>
      </c>
      <c r="B72" s="165">
        <f>B17+(12/0.017)*(B18*B50-B33*B51)</f>
        <v>-0.004097046649481713</v>
      </c>
      <c r="C72" s="165">
        <f>C17+(12/0.017)*(C18*C50-C33*C51)</f>
        <v>-0.0037123453643498677</v>
      </c>
      <c r="D72" s="165">
        <f>D17+(12/0.017)*(D18*D50-D33*D51)</f>
        <v>0.005688502145449184</v>
      </c>
      <c r="E72" s="165">
        <f>E17+(12/0.017)*(E18*E50-E33*E51)</f>
        <v>0.0032355299572105036</v>
      </c>
      <c r="F72" s="165">
        <f>F17+(12/0.017)*(F18*F50-F33*F51)</f>
        <v>-0.015691055848860828</v>
      </c>
    </row>
    <row r="73" spans="1:6" ht="12.75">
      <c r="A73" s="165" t="s">
        <v>171</v>
      </c>
      <c r="B73" s="165">
        <f>B18+(13/0.017)*(B19*B50-B34*B51)</f>
        <v>0.022591597803894987</v>
      </c>
      <c r="C73" s="165">
        <f>C18+(13/0.017)*(C19*C50-C34*C51)</f>
        <v>0.032021195951865686</v>
      </c>
      <c r="D73" s="165">
        <f>D18+(13/0.017)*(D19*D50-D34*D51)</f>
        <v>0.022836522570195413</v>
      </c>
      <c r="E73" s="165">
        <f>E18+(13/0.017)*(E19*E50-E34*E51)</f>
        <v>0.024399797036457734</v>
      </c>
      <c r="F73" s="165">
        <f>F18+(13/0.017)*(F19*F50-F34*F51)</f>
        <v>-0.013886772894052178</v>
      </c>
    </row>
    <row r="74" spans="1:6" ht="12.75">
      <c r="A74" s="165" t="s">
        <v>172</v>
      </c>
      <c r="B74" s="165">
        <f>B19+(14/0.017)*(B20*B50-B35*B51)</f>
        <v>-0.19178347705936527</v>
      </c>
      <c r="C74" s="165">
        <f>C19+(14/0.017)*(C20*C50-C35*C51)</f>
        <v>-0.18289088945451523</v>
      </c>
      <c r="D74" s="165">
        <f>D19+(14/0.017)*(D20*D50-D35*D51)</f>
        <v>-0.17722108852740664</v>
      </c>
      <c r="E74" s="165">
        <f>E19+(14/0.017)*(E20*E50-E35*E51)</f>
        <v>-0.18071268059462484</v>
      </c>
      <c r="F74" s="165">
        <f>F19+(14/0.017)*(F20*F50-F35*F51)</f>
        <v>-0.14147093077282064</v>
      </c>
    </row>
    <row r="75" spans="1:6" ht="12.75">
      <c r="A75" s="165" t="s">
        <v>173</v>
      </c>
      <c r="B75" s="166">
        <f>B20</f>
        <v>-0.005061996</v>
      </c>
      <c r="C75" s="166">
        <f>C20</f>
        <v>-0.001374874</v>
      </c>
      <c r="D75" s="166">
        <f>D20</f>
        <v>0.0010964</v>
      </c>
      <c r="E75" s="166">
        <f>E20</f>
        <v>-0.0003690162</v>
      </c>
      <c r="F75" s="166">
        <f>F20</f>
        <v>0.0006734698</v>
      </c>
    </row>
    <row r="78" ht="12.75">
      <c r="A78" s="165" t="s">
        <v>155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174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175</v>
      </c>
      <c r="B82" s="165">
        <f>B22+(2/0.017)*(B8*B51+B23*B50)</f>
        <v>79.80461269783245</v>
      </c>
      <c r="C82" s="165">
        <f>C22+(2/0.017)*(C8*C51+C23*C50)</f>
        <v>-21.977777087424965</v>
      </c>
      <c r="D82" s="165">
        <f>D22+(2/0.017)*(D8*D51+D23*D50)</f>
        <v>-21.57966605864475</v>
      </c>
      <c r="E82" s="165">
        <f>E22+(2/0.017)*(E8*E51+E23*E50)</f>
        <v>8.64765406856542</v>
      </c>
      <c r="F82" s="165">
        <f>F22+(2/0.017)*(F8*F51+F23*F50)</f>
        <v>-22.970081952030558</v>
      </c>
    </row>
    <row r="83" spans="1:6" ht="12.75">
      <c r="A83" s="165" t="s">
        <v>176</v>
      </c>
      <c r="B83" s="165">
        <f>B23+(3/0.017)*(B9*B51+B24*B50)</f>
        <v>2.6417941245630927</v>
      </c>
      <c r="C83" s="165">
        <f>C23+(3/0.017)*(C9*C51+C24*C50)</f>
        <v>-2.222601678574779</v>
      </c>
      <c r="D83" s="165">
        <f>D23+(3/0.017)*(D9*D51+D24*D50)</f>
        <v>-0.0966811312511632</v>
      </c>
      <c r="E83" s="165">
        <f>E23+(3/0.017)*(E9*E51+E24*E50)</f>
        <v>-1.6636425175938077</v>
      </c>
      <c r="F83" s="165">
        <f>F23+(3/0.017)*(F9*F51+F24*F50)</f>
        <v>6.443902008262637</v>
      </c>
    </row>
    <row r="84" spans="1:6" ht="12.75">
      <c r="A84" s="165" t="s">
        <v>177</v>
      </c>
      <c r="B84" s="165">
        <f>B24+(4/0.017)*(B10*B51+B25*B50)</f>
        <v>-0.7261456894537641</v>
      </c>
      <c r="C84" s="165">
        <f>C24+(4/0.017)*(C10*C51+C25*C50)</f>
        <v>-0.05645088086320136</v>
      </c>
      <c r="D84" s="165">
        <f>D24+(4/0.017)*(D10*D51+D25*D50)</f>
        <v>-1.7087529765864868</v>
      </c>
      <c r="E84" s="165">
        <f>E24+(4/0.017)*(E10*E51+E25*E50)</f>
        <v>-0.9238365145819676</v>
      </c>
      <c r="F84" s="165">
        <f>F24+(4/0.017)*(F10*F51+F25*F50)</f>
        <v>-2.603015981282907</v>
      </c>
    </row>
    <row r="85" spans="1:6" ht="12.75">
      <c r="A85" s="165" t="s">
        <v>178</v>
      </c>
      <c r="B85" s="165">
        <f>B25+(5/0.017)*(B11*B51+B26*B50)</f>
        <v>1.1959837404530478</v>
      </c>
      <c r="C85" s="165">
        <f>C25+(5/0.017)*(C11*C51+C26*C50)</f>
        <v>0.05565298831450141</v>
      </c>
      <c r="D85" s="165">
        <f>D25+(5/0.017)*(D11*D51+D26*D50)</f>
        <v>0.8387573979863259</v>
      </c>
      <c r="E85" s="165">
        <f>E25+(5/0.017)*(E11*E51+E26*E50)</f>
        <v>0.21752476727959882</v>
      </c>
      <c r="F85" s="165">
        <f>F25+(5/0.017)*(F11*F51+F26*F50)</f>
        <v>-1.4804918227790853</v>
      </c>
    </row>
    <row r="86" spans="1:6" ht="12.75">
      <c r="A86" s="165" t="s">
        <v>179</v>
      </c>
      <c r="B86" s="165">
        <f>B26+(6/0.017)*(B12*B51+B27*B50)</f>
        <v>0.6250223077516116</v>
      </c>
      <c r="C86" s="165">
        <f>C26+(6/0.017)*(C12*C51+C27*C50)</f>
        <v>-0.255618760739199</v>
      </c>
      <c r="D86" s="165">
        <f>D26+(6/0.017)*(D12*D51+D27*D50)</f>
        <v>-0.2566552918835844</v>
      </c>
      <c r="E86" s="165">
        <f>E26+(6/0.017)*(E12*E51+E27*E50)</f>
        <v>-0.19557915133503426</v>
      </c>
      <c r="F86" s="165">
        <f>F26+(6/0.017)*(F12*F51+F27*F50)</f>
        <v>1.3440918566346425</v>
      </c>
    </row>
    <row r="87" spans="1:6" ht="12.75">
      <c r="A87" s="165" t="s">
        <v>180</v>
      </c>
      <c r="B87" s="165">
        <f>B27+(7/0.017)*(B13*B51+B28*B50)</f>
        <v>0.13904964959803</v>
      </c>
      <c r="C87" s="165">
        <f>C27+(7/0.017)*(C13*C51+C28*C50)</f>
        <v>0.047397125575468546</v>
      </c>
      <c r="D87" s="165">
        <f>D27+(7/0.017)*(D13*D51+D28*D50)</f>
        <v>-0.40031031918649806</v>
      </c>
      <c r="E87" s="165">
        <f>E27+(7/0.017)*(E13*E51+E28*E50)</f>
        <v>-0.24888607754902176</v>
      </c>
      <c r="F87" s="165">
        <f>F27+(7/0.017)*(F13*F51+F28*F50)</f>
        <v>0.20003301981300242</v>
      </c>
    </row>
    <row r="88" spans="1:6" ht="12.75">
      <c r="A88" s="165" t="s">
        <v>181</v>
      </c>
      <c r="B88" s="165">
        <f>B28+(8/0.017)*(B14*B51+B29*B50)</f>
        <v>-0.08337825771439962</v>
      </c>
      <c r="C88" s="165">
        <f>C28+(8/0.017)*(C14*C51+C29*C50)</f>
        <v>-0.054548456130574824</v>
      </c>
      <c r="D88" s="165">
        <f>D28+(8/0.017)*(D14*D51+D29*D50)</f>
        <v>0.027882389564949775</v>
      </c>
      <c r="E88" s="165">
        <f>E28+(8/0.017)*(E14*E51+E29*E50)</f>
        <v>-0.03295957061656742</v>
      </c>
      <c r="F88" s="165">
        <f>F28+(8/0.017)*(F14*F51+F29*F50)</f>
        <v>-0.04214827756111088</v>
      </c>
    </row>
    <row r="89" spans="1:6" ht="12.75">
      <c r="A89" s="165" t="s">
        <v>182</v>
      </c>
      <c r="B89" s="165">
        <f>B29+(9/0.017)*(B15*B51+B30*B50)</f>
        <v>0.07108352317216829</v>
      </c>
      <c r="C89" s="165">
        <f>C29+(9/0.017)*(C15*C51+C30*C50)</f>
        <v>-0.12186826680265152</v>
      </c>
      <c r="D89" s="165">
        <f>D29+(9/0.017)*(D15*D51+D30*D50)</f>
        <v>-0.1672320870029893</v>
      </c>
      <c r="E89" s="165">
        <f>E29+(9/0.017)*(E15*E51+E30*E50)</f>
        <v>-0.09711153269544971</v>
      </c>
      <c r="F89" s="165">
        <f>F29+(9/0.017)*(F15*F51+F30*F50)</f>
        <v>0.05371182514702518</v>
      </c>
    </row>
    <row r="90" spans="1:6" ht="12.75">
      <c r="A90" s="165" t="s">
        <v>183</v>
      </c>
      <c r="B90" s="165">
        <f>B30+(10/0.017)*(B16*B51+B31*B50)</f>
        <v>0.11511035006759</v>
      </c>
      <c r="C90" s="165">
        <f>C30+(10/0.017)*(C16*C51+C31*C50)</f>
        <v>-0.01812061125533578</v>
      </c>
      <c r="D90" s="165">
        <f>D30+(10/0.017)*(D16*D51+D31*D50)</f>
        <v>0.007488433389054444</v>
      </c>
      <c r="E90" s="165">
        <f>E30+(10/0.017)*(E16*E51+E31*E50)</f>
        <v>0.04119588864567306</v>
      </c>
      <c r="F90" s="165">
        <f>F30+(10/0.017)*(F16*F51+F31*F50)</f>
        <v>0.36780570963628334</v>
      </c>
    </row>
    <row r="91" spans="1:6" ht="12.75">
      <c r="A91" s="165" t="s">
        <v>184</v>
      </c>
      <c r="B91" s="165">
        <f>B31+(11/0.017)*(B17*B51+B32*B50)</f>
        <v>-0.01728142858427793</v>
      </c>
      <c r="C91" s="165">
        <f>C31+(11/0.017)*(C17*C51+C32*C50)</f>
        <v>-0.02867655314499069</v>
      </c>
      <c r="D91" s="165">
        <f>D31+(11/0.017)*(D17*D51+D32*D50)</f>
        <v>-0.08223441077794044</v>
      </c>
      <c r="E91" s="165">
        <f>E31+(11/0.017)*(E17*E51+E32*E50)</f>
        <v>-0.04020950890312998</v>
      </c>
      <c r="F91" s="165">
        <f>F31+(11/0.017)*(F17*F51+F32*F50)</f>
        <v>0.029413336239901985</v>
      </c>
    </row>
    <row r="92" spans="1:6" ht="12.75">
      <c r="A92" s="165" t="s">
        <v>185</v>
      </c>
      <c r="B92" s="165">
        <f>B32+(12/0.017)*(B18*B51+B33*B50)</f>
        <v>0.02189344853099399</v>
      </c>
      <c r="C92" s="165">
        <f>C32+(12/0.017)*(C18*C51+C33*C50)</f>
        <v>-0.016068050608562465</v>
      </c>
      <c r="D92" s="165">
        <f>D32+(12/0.017)*(D18*D51+D33*D50)</f>
        <v>0.010178697369442425</v>
      </c>
      <c r="E92" s="165">
        <f>E32+(12/0.017)*(E18*E51+E33*E50)</f>
        <v>-0.0008937983928965368</v>
      </c>
      <c r="F92" s="165">
        <f>F32+(12/0.017)*(F18*F51+F33*F50)</f>
        <v>-0.007928219348543748</v>
      </c>
    </row>
    <row r="93" spans="1:6" ht="12.75">
      <c r="A93" s="165" t="s">
        <v>186</v>
      </c>
      <c r="B93" s="165">
        <f>B33+(13/0.017)*(B19*B51+B34*B50)</f>
        <v>0.03479370745287263</v>
      </c>
      <c r="C93" s="165">
        <f>C33+(13/0.017)*(C19*C51+C34*C50)</f>
        <v>0.032332052362489316</v>
      </c>
      <c r="D93" s="165">
        <f>D33+(13/0.017)*(D19*D51+D34*D50)</f>
        <v>0.004442927426086252</v>
      </c>
      <c r="E93" s="165">
        <f>E33+(13/0.017)*(E19*E51+E34*E50)</f>
        <v>0.022364558056798375</v>
      </c>
      <c r="F93" s="165">
        <f>F33+(13/0.017)*(F19*F51+F34*F50)</f>
        <v>0.018299183181194282</v>
      </c>
    </row>
    <row r="94" spans="1:6" ht="12.75">
      <c r="A94" s="165" t="s">
        <v>187</v>
      </c>
      <c r="B94" s="165">
        <f>B34+(14/0.017)*(B20*B51+B35*B50)</f>
        <v>0.009103863453161297</v>
      </c>
      <c r="C94" s="165">
        <f>C34+(14/0.017)*(C20*C51+C35*C50)</f>
        <v>0.012645766953050678</v>
      </c>
      <c r="D94" s="165">
        <f>D34+(14/0.017)*(D20*D51+D35*D50)</f>
        <v>0.012695391632288142</v>
      </c>
      <c r="E94" s="165">
        <f>E34+(14/0.017)*(E20*E51+E35*E50)</f>
        <v>0.013819590310142413</v>
      </c>
      <c r="F94" s="165">
        <f>F34+(14/0.017)*(F20*F51+F35*F50)</f>
        <v>-0.008530606906130412</v>
      </c>
    </row>
    <row r="95" spans="1:6" ht="12.75">
      <c r="A95" s="165" t="s">
        <v>188</v>
      </c>
      <c r="B95" s="166">
        <f>B35</f>
        <v>-0.002706446</v>
      </c>
      <c r="C95" s="166">
        <f>C35</f>
        <v>-0.007795091</v>
      </c>
      <c r="D95" s="166">
        <f>D35</f>
        <v>-0.001593943</v>
      </c>
      <c r="E95" s="166">
        <f>E35</f>
        <v>-0.004177236</v>
      </c>
      <c r="F95" s="166">
        <f>F35</f>
        <v>0.005084837</v>
      </c>
    </row>
    <row r="98" ht="12.75">
      <c r="A98" s="165" t="s">
        <v>156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158</v>
      </c>
      <c r="H100" s="165" t="s">
        <v>159</v>
      </c>
      <c r="I100" s="165" t="s">
        <v>154</v>
      </c>
      <c r="K100" s="165" t="s">
        <v>189</v>
      </c>
    </row>
    <row r="101" spans="1:9" ht="12.75">
      <c r="A101" s="165" t="s">
        <v>157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160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161</v>
      </c>
      <c r="B103" s="165">
        <f>B63*10000/B62</f>
        <v>-0.8039550972153291</v>
      </c>
      <c r="C103" s="165">
        <f>C63*10000/C62</f>
        <v>1.6256797946506343</v>
      </c>
      <c r="D103" s="165">
        <f>D63*10000/D62</f>
        <v>2.1684778604764463</v>
      </c>
      <c r="E103" s="165">
        <f>E63*10000/E62</f>
        <v>1.9655553722059307</v>
      </c>
      <c r="F103" s="165">
        <f>F63*10000/F62</f>
        <v>0.31815038220310893</v>
      </c>
      <c r="G103" s="165">
        <f>AVERAGE(C103:E103)</f>
        <v>1.9199043424443374</v>
      </c>
      <c r="H103" s="165">
        <f>STDEV(C103:E103)</f>
        <v>0.27426346357978443</v>
      </c>
      <c r="I103" s="165">
        <f>(B103*B4+C103*C4+D103*D4+E103*E4+F103*F4)/SUM(B4:F4)</f>
        <v>1.3125318766312426</v>
      </c>
      <c r="K103" s="165">
        <f>(LN(H103)+LN(H123))/2-LN(K114*K115^3)</f>
        <v>-4.476788013891577</v>
      </c>
    </row>
    <row r="104" spans="1:11" ht="12.75">
      <c r="A104" s="165" t="s">
        <v>162</v>
      </c>
      <c r="B104" s="165">
        <f>B64*10000/B62</f>
        <v>-0.5934407050490823</v>
      </c>
      <c r="C104" s="165">
        <f>C64*10000/C62</f>
        <v>-0.06343117865658289</v>
      </c>
      <c r="D104" s="165">
        <f>D64*10000/D62</f>
        <v>0.06465143940713812</v>
      </c>
      <c r="E104" s="165">
        <f>E64*10000/E62</f>
        <v>-0.05093926151859601</v>
      </c>
      <c r="F104" s="165">
        <f>F64*10000/F62</f>
        <v>-3.0915835556063636</v>
      </c>
      <c r="G104" s="165">
        <f>AVERAGE(C104:E104)</f>
        <v>-0.016573000256013593</v>
      </c>
      <c r="H104" s="165">
        <f>STDEV(C104:E104)</f>
        <v>0.07061918434384748</v>
      </c>
      <c r="I104" s="165">
        <f>(B104*B4+C104*C4+D104*D4+E104*E4+F104*F4)/SUM(B4:F4)</f>
        <v>-0.5111693549041009</v>
      </c>
      <c r="K104" s="165">
        <f>(LN(H104)+LN(H124))/2-LN(K114*K115^4)</f>
        <v>-4.707745735666823</v>
      </c>
    </row>
    <row r="105" spans="1:11" ht="12.75">
      <c r="A105" s="165" t="s">
        <v>163</v>
      </c>
      <c r="B105" s="165">
        <f>B65*10000/B62</f>
        <v>-0.1198603338557166</v>
      </c>
      <c r="C105" s="165">
        <f>C65*10000/C62</f>
        <v>-0.7629778096749747</v>
      </c>
      <c r="D105" s="165">
        <f>D65*10000/D62</f>
        <v>-0.7406603968256033</v>
      </c>
      <c r="E105" s="165">
        <f>E65*10000/E62</f>
        <v>-0.6597968859399046</v>
      </c>
      <c r="F105" s="165">
        <f>F65*10000/F62</f>
        <v>-0.9749266279274613</v>
      </c>
      <c r="G105" s="165">
        <f>AVERAGE(C105:E105)</f>
        <v>-0.7211450308134942</v>
      </c>
      <c r="H105" s="165">
        <f>STDEV(C105:E105)</f>
        <v>0.05428823895325427</v>
      </c>
      <c r="I105" s="165">
        <f>(B105*B4+C105*C4+D105*D4+E105*E4+F105*F4)/SUM(B4:F4)</f>
        <v>-0.6683213257629231</v>
      </c>
      <c r="K105" s="165">
        <f>(LN(H105)+LN(H125))/2-LN(K114*K115^5)</f>
        <v>-4.594321574160913</v>
      </c>
    </row>
    <row r="106" spans="1:11" ht="12.75">
      <c r="A106" s="165" t="s">
        <v>164</v>
      </c>
      <c r="B106" s="165">
        <f>B66*10000/B62</f>
        <v>3.3833590271013</v>
      </c>
      <c r="C106" s="165">
        <f>C66*10000/C62</f>
        <v>3.405273092579485</v>
      </c>
      <c r="D106" s="165">
        <f>D66*10000/D62</f>
        <v>3.182375896762353</v>
      </c>
      <c r="E106" s="165">
        <f>E66*10000/E62</f>
        <v>3.341845613114775</v>
      </c>
      <c r="F106" s="165">
        <f>F66*10000/F62</f>
        <v>14.674841111206273</v>
      </c>
      <c r="G106" s="165">
        <f>AVERAGE(C106:E106)</f>
        <v>3.3098315341522047</v>
      </c>
      <c r="H106" s="165">
        <f>STDEV(C106:E106)</f>
        <v>0.11484540005872959</v>
      </c>
      <c r="I106" s="165">
        <f>(B106*B4+C106*C4+D106*D4+E106*E4+F106*F4)/SUM(B4:F4)</f>
        <v>4.8407456508395335</v>
      </c>
      <c r="K106" s="165">
        <f>(LN(H106)+LN(H126))/2-LN(K114*K115^6)</f>
        <v>-4.8633723784801255</v>
      </c>
    </row>
    <row r="107" spans="1:11" ht="12.75">
      <c r="A107" s="165" t="s">
        <v>165</v>
      </c>
      <c r="B107" s="165">
        <f>B67*10000/B62</f>
        <v>-0.022624946875128414</v>
      </c>
      <c r="C107" s="165">
        <f>C67*10000/C62</f>
        <v>-0.18123466915289588</v>
      </c>
      <c r="D107" s="165">
        <f>D67*10000/D62</f>
        <v>-0.034156803358332204</v>
      </c>
      <c r="E107" s="165">
        <f>E67*10000/E62</f>
        <v>0.05504014647428152</v>
      </c>
      <c r="F107" s="165">
        <f>F67*10000/F62</f>
        <v>-0.058554880617185105</v>
      </c>
      <c r="G107" s="165">
        <f>AVERAGE(C107:E107)</f>
        <v>-0.053450442012315524</v>
      </c>
      <c r="H107" s="165">
        <f>STDEV(C107:E107)</f>
        <v>0.11931316144624207</v>
      </c>
      <c r="I107" s="165">
        <f>(B107*B4+C107*C4+D107*D4+E107*E4+F107*F4)/SUM(B4:F4)</f>
        <v>-0.049691570817947235</v>
      </c>
      <c r="K107" s="165">
        <f>(LN(H107)+LN(H127))/2-LN(K114*K115^7)</f>
        <v>-3.3161066229028884</v>
      </c>
    </row>
    <row r="108" spans="1:9" ht="12.75">
      <c r="A108" s="165" t="s">
        <v>166</v>
      </c>
      <c r="B108" s="165">
        <f>B68*10000/B62</f>
        <v>-0.08199880554278192</v>
      </c>
      <c r="C108" s="165">
        <f>C68*10000/C62</f>
        <v>-0.06695988062884324</v>
      </c>
      <c r="D108" s="165">
        <f>D68*10000/D62</f>
        <v>-0.06595899479219385</v>
      </c>
      <c r="E108" s="165">
        <f>E68*10000/E62</f>
        <v>-0.0959013225911873</v>
      </c>
      <c r="F108" s="165">
        <f>F68*10000/F62</f>
        <v>-0.3069919315783493</v>
      </c>
      <c r="G108" s="165">
        <f>AVERAGE(C108:E108)</f>
        <v>-0.07627339933740813</v>
      </c>
      <c r="H108" s="165">
        <f>STDEV(C108:E108)</f>
        <v>0.017005645284924854</v>
      </c>
      <c r="I108" s="165">
        <f>(B108*B4+C108*C4+D108*D4+E108*E4+F108*F4)/SUM(B4:F4)</f>
        <v>-0.10796178641456824</v>
      </c>
    </row>
    <row r="109" spans="1:9" ht="12.75">
      <c r="A109" s="165" t="s">
        <v>167</v>
      </c>
      <c r="B109" s="165">
        <f>B69*10000/B62</f>
        <v>-0.02200438734529507</v>
      </c>
      <c r="C109" s="165">
        <f>C69*10000/C62</f>
        <v>-0.08749987777043114</v>
      </c>
      <c r="D109" s="165">
        <f>D69*10000/D62</f>
        <v>-0.08327410166511318</v>
      </c>
      <c r="E109" s="165">
        <f>E69*10000/E62</f>
        <v>-0.04301334032451511</v>
      </c>
      <c r="F109" s="165">
        <f>F69*10000/F62</f>
        <v>-0.14773095892181484</v>
      </c>
      <c r="G109" s="165">
        <f>AVERAGE(C109:E109)</f>
        <v>-0.07126243992001981</v>
      </c>
      <c r="H109" s="165">
        <f>STDEV(C109:E109)</f>
        <v>0.024555508890890993</v>
      </c>
      <c r="I109" s="165">
        <f>(B109*B4+C109*C4+D109*D4+E109*E4+F109*F4)/SUM(B4:F4)</f>
        <v>-0.07438467920522444</v>
      </c>
    </row>
    <row r="110" spans="1:11" ht="12.75">
      <c r="A110" s="165" t="s">
        <v>168</v>
      </c>
      <c r="B110" s="165">
        <f>B70*10000/B62</f>
        <v>-0.3001513246187438</v>
      </c>
      <c r="C110" s="165">
        <f>C70*10000/C62</f>
        <v>-0.011004597082107352</v>
      </c>
      <c r="D110" s="165">
        <f>D70*10000/D62</f>
        <v>-0.01048436257569818</v>
      </c>
      <c r="E110" s="165">
        <f>E70*10000/E62</f>
        <v>-0.001207298793213345</v>
      </c>
      <c r="F110" s="165">
        <f>F70*10000/F62</f>
        <v>-0.25341924600693955</v>
      </c>
      <c r="G110" s="165">
        <f>AVERAGE(C110:E110)</f>
        <v>-0.00756541948367296</v>
      </c>
      <c r="H110" s="165">
        <f>STDEV(C110:E110)</f>
        <v>0.005512434582038381</v>
      </c>
      <c r="I110" s="165">
        <f>(B110*B4+C110*C4+D110*D4+E110*E4+F110*F4)/SUM(B4:F4)</f>
        <v>-0.08267925885676344</v>
      </c>
      <c r="K110" s="165">
        <f>EXP(AVERAGE(K103:K107))</f>
        <v>0.01238007609644451</v>
      </c>
    </row>
    <row r="111" spans="1:9" ht="12.75">
      <c r="A111" s="165" t="s">
        <v>169</v>
      </c>
      <c r="B111" s="165">
        <f>B71*10000/B62</f>
        <v>0.006217646897923778</v>
      </c>
      <c r="C111" s="165">
        <f>C71*10000/C62</f>
        <v>-0.025402137943110463</v>
      </c>
      <c r="D111" s="165">
        <f>D71*10000/D62</f>
        <v>-0.015505286006534084</v>
      </c>
      <c r="E111" s="165">
        <f>E71*10000/E62</f>
        <v>-0.0033939284173324378</v>
      </c>
      <c r="F111" s="165">
        <f>F71*10000/F62</f>
        <v>0.003968453657233925</v>
      </c>
      <c r="G111" s="165">
        <f>AVERAGE(C111:E111)</f>
        <v>-0.014767117455658995</v>
      </c>
      <c r="H111" s="165">
        <f>STDEV(C111:E111)</f>
        <v>0.011022658084135717</v>
      </c>
      <c r="I111" s="165">
        <f>(B111*B4+C111*C4+D111*D4+E111*E4+F111*F4)/SUM(B4:F4)</f>
        <v>-0.009233100738492702</v>
      </c>
    </row>
    <row r="112" spans="1:9" ht="12.75">
      <c r="A112" s="165" t="s">
        <v>170</v>
      </c>
      <c r="B112" s="165">
        <f>B72*10000/B62</f>
        <v>-0.004097075675222841</v>
      </c>
      <c r="C112" s="165">
        <f>C72*10000/C62</f>
        <v>-0.0037123510408368786</v>
      </c>
      <c r="D112" s="165">
        <f>D72*10000/D62</f>
        <v>0.005688502115390767</v>
      </c>
      <c r="E112" s="165">
        <f>E72*10000/E62</f>
        <v>0.003235533534277607</v>
      </c>
      <c r="F112" s="165">
        <f>F72*10000/F62</f>
        <v>-0.01569140329047065</v>
      </c>
      <c r="G112" s="165">
        <f>AVERAGE(C112:E112)</f>
        <v>0.0017372282029438316</v>
      </c>
      <c r="H112" s="165">
        <f>STDEV(C112:E112)</f>
        <v>0.0048762382187159635</v>
      </c>
      <c r="I112" s="165">
        <f>(B112*B4+C112*C4+D112*D4+E112*E4+F112*F4)/SUM(B4:F4)</f>
        <v>-0.0014363025523612982</v>
      </c>
    </row>
    <row r="113" spans="1:9" ht="12.75">
      <c r="A113" s="165" t="s">
        <v>171</v>
      </c>
      <c r="B113" s="165">
        <f>B73*10000/B62</f>
        <v>0.02259175785525042</v>
      </c>
      <c r="C113" s="165">
        <f>C73*10000/C62</f>
        <v>0.032021244914956414</v>
      </c>
      <c r="D113" s="165">
        <f>D73*10000/D62</f>
        <v>0.022836522449525738</v>
      </c>
      <c r="E113" s="165">
        <f>E73*10000/E62</f>
        <v>0.024399824011856655</v>
      </c>
      <c r="F113" s="165">
        <f>F73*10000/F62</f>
        <v>-0.013887080384050048</v>
      </c>
      <c r="G113" s="165">
        <f>AVERAGE(C113:E113)</f>
        <v>0.02641919712544627</v>
      </c>
      <c r="H113" s="165">
        <f>STDEV(C113:E113)</f>
        <v>0.004914080027905852</v>
      </c>
      <c r="I113" s="165">
        <f>(B113*B4+C113*C4+D113*D4+E113*E4+F113*F4)/SUM(B4:F4)</f>
        <v>0.020475161395241224</v>
      </c>
    </row>
    <row r="114" spans="1:11" ht="12.75">
      <c r="A114" s="165" t="s">
        <v>172</v>
      </c>
      <c r="B114" s="165">
        <f>B74*10000/B62</f>
        <v>-0.1917848357594324</v>
      </c>
      <c r="C114" s="165">
        <f>C74*10000/C62</f>
        <v>-0.1828911691100043</v>
      </c>
      <c r="D114" s="165">
        <f>D74*10000/D62</f>
        <v>-0.17722108759095884</v>
      </c>
      <c r="E114" s="165">
        <f>E74*10000/E62</f>
        <v>-0.18071288038303465</v>
      </c>
      <c r="F114" s="165">
        <f>F74*10000/F62</f>
        <v>-0.14147406331459503</v>
      </c>
      <c r="G114" s="165">
        <f>AVERAGE(C114:E114)</f>
        <v>-0.18027504569466593</v>
      </c>
      <c r="H114" s="165">
        <f>STDEV(C114:E114)</f>
        <v>0.002860285041547184</v>
      </c>
      <c r="I114" s="165">
        <f>(B114*B4+C114*C4+D114*D4+E114*E4+F114*F4)/SUM(B4:F4)</f>
        <v>-0.17674565394729314</v>
      </c>
      <c r="J114" s="165" t="s">
        <v>190</v>
      </c>
      <c r="K114" s="165">
        <v>285</v>
      </c>
    </row>
    <row r="115" spans="1:11" ht="12.75">
      <c r="A115" s="165" t="s">
        <v>173</v>
      </c>
      <c r="B115" s="165">
        <f>B75*10000/B62</f>
        <v>-0.005062031861975236</v>
      </c>
      <c r="C115" s="165">
        <f>C75*10000/C62</f>
        <v>-0.0013748761022975065</v>
      </c>
      <c r="D115" s="165">
        <f>D75*10000/D62</f>
        <v>0.001096399994206551</v>
      </c>
      <c r="E115" s="165">
        <f>E75*10000/E62</f>
        <v>-0.00036901660796893475</v>
      </c>
      <c r="F115" s="165">
        <f>F75*10000/F62</f>
        <v>0.0006734847124083002</v>
      </c>
      <c r="G115" s="165">
        <f>AVERAGE(C115:E115)</f>
        <v>-0.00021583090535329678</v>
      </c>
      <c r="H115" s="165">
        <f>STDEV(C115:E115)</f>
        <v>0.0012427392248184927</v>
      </c>
      <c r="I115" s="165">
        <f>(B115*B4+C115*C4+D115*D4+E115*E4+F115*F4)/SUM(B4:F4)</f>
        <v>-0.0007962505642389416</v>
      </c>
      <c r="J115" s="165" t="s">
        <v>191</v>
      </c>
      <c r="K115" s="165">
        <v>0.5536</v>
      </c>
    </row>
    <row r="118" ht="12.75">
      <c r="A118" s="165" t="s">
        <v>156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158</v>
      </c>
      <c r="H120" s="165" t="s">
        <v>159</v>
      </c>
      <c r="I120" s="165" t="s">
        <v>154</v>
      </c>
    </row>
    <row r="121" spans="1:9" ht="12.75">
      <c r="A121" s="165" t="s">
        <v>174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175</v>
      </c>
      <c r="B122" s="165">
        <f>B82*10000/B62</f>
        <v>79.80517807778223</v>
      </c>
      <c r="C122" s="165">
        <f>C82*10000/C62</f>
        <v>-21.977810693287008</v>
      </c>
      <c r="D122" s="165">
        <f>D82*10000/D62</f>
        <v>-21.579665944616387</v>
      </c>
      <c r="E122" s="165">
        <f>E82*10000/E62</f>
        <v>8.647663629051431</v>
      </c>
      <c r="F122" s="165">
        <f>F82*10000/F62</f>
        <v>-22.970590570591863</v>
      </c>
      <c r="G122" s="165">
        <f>AVERAGE(C122:E122)</f>
        <v>-11.636604336283987</v>
      </c>
      <c r="H122" s="165">
        <f>STDEV(C122:E122)</f>
        <v>17.567819300566963</v>
      </c>
      <c r="I122" s="165">
        <f>(B122*B4+C122*C4+D122*D4+E122*E4+F122*F4)/SUM(B4:F4)</f>
        <v>0.042628032475346085</v>
      </c>
    </row>
    <row r="123" spans="1:9" ht="12.75">
      <c r="A123" s="165" t="s">
        <v>176</v>
      </c>
      <c r="B123" s="165">
        <f>B83*10000/B62</f>
        <v>2.641812840491646</v>
      </c>
      <c r="C123" s="165">
        <f>C83*10000/C62</f>
        <v>-2.2226050771189123</v>
      </c>
      <c r="D123" s="165">
        <f>D83*10000/D62</f>
        <v>-0.0966811307402938</v>
      </c>
      <c r="E123" s="165">
        <f>E83*10000/E62</f>
        <v>-1.663644356847655</v>
      </c>
      <c r="F123" s="165">
        <f>F83*10000/F62</f>
        <v>6.4440446933508095</v>
      </c>
      <c r="G123" s="165">
        <f>AVERAGE(C123:E123)</f>
        <v>-1.3276435215689537</v>
      </c>
      <c r="H123" s="165">
        <f>STDEV(C123:E123)</f>
        <v>1.1020710401001825</v>
      </c>
      <c r="I123" s="165">
        <f>(B123*B4+C123*C4+D123*D4+E123*E4+F123*F4)/SUM(B4:F4)</f>
        <v>0.28486580792698624</v>
      </c>
    </row>
    <row r="124" spans="1:9" ht="12.75">
      <c r="A124" s="165" t="s">
        <v>177</v>
      </c>
      <c r="B124" s="165">
        <f>B84*10000/B62</f>
        <v>-0.7261508338708543</v>
      </c>
      <c r="C124" s="165">
        <f>C84*10000/C62</f>
        <v>-0.05645096718132657</v>
      </c>
      <c r="D124" s="165">
        <f>D84*10000/D62</f>
        <v>-1.7087529675573245</v>
      </c>
      <c r="E124" s="165">
        <f>E84*10000/E62</f>
        <v>-0.9238375359371241</v>
      </c>
      <c r="F124" s="165">
        <f>F84*10000/F62</f>
        <v>-2.6030736189633568</v>
      </c>
      <c r="G124" s="165">
        <f>AVERAGE(C124:E124)</f>
        <v>-0.8963471568919251</v>
      </c>
      <c r="H124" s="165">
        <f>STDEV(C124:E124)</f>
        <v>0.8264939599396162</v>
      </c>
      <c r="I124" s="165">
        <f>(B124*B4+C124*C4+D124*D4+E124*E4+F124*F4)/SUM(B4:F4)</f>
        <v>-1.1000929284444525</v>
      </c>
    </row>
    <row r="125" spans="1:9" ht="12.75">
      <c r="A125" s="165" t="s">
        <v>178</v>
      </c>
      <c r="B125" s="165">
        <f>B85*10000/B62</f>
        <v>1.195992213462367</v>
      </c>
      <c r="C125" s="165">
        <f>C85*10000/C62</f>
        <v>0.05565307341258208</v>
      </c>
      <c r="D125" s="165">
        <f>D85*10000/D62</f>
        <v>0.838757393554277</v>
      </c>
      <c r="E125" s="165">
        <f>E85*10000/E62</f>
        <v>0.21752500776591782</v>
      </c>
      <c r="F125" s="165">
        <f>F85*10000/F62</f>
        <v>-1.4805246047962544</v>
      </c>
      <c r="G125" s="165">
        <f>AVERAGE(C125:E125)</f>
        <v>0.370645158244259</v>
      </c>
      <c r="H125" s="165">
        <f>STDEV(C125:E125)</f>
        <v>0.4133974230906972</v>
      </c>
      <c r="I125" s="165">
        <f>(B125*B4+C125*C4+D125*D4+E125*E4+F125*F4)/SUM(B4:F4)</f>
        <v>0.24213520936881022</v>
      </c>
    </row>
    <row r="126" spans="1:9" ht="12.75">
      <c r="A126" s="165" t="s">
        <v>179</v>
      </c>
      <c r="B126" s="165">
        <f>B86*10000/B62</f>
        <v>0.6250267357548187</v>
      </c>
      <c r="C126" s="165">
        <f>C86*10000/C62</f>
        <v>-0.25561915160169496</v>
      </c>
      <c r="D126" s="165">
        <f>D86*10000/D62</f>
        <v>-0.25665529052740105</v>
      </c>
      <c r="E126" s="165">
        <f>E86*10000/E62</f>
        <v>-0.19557936755919467</v>
      </c>
      <c r="F126" s="165">
        <f>F86*10000/F62</f>
        <v>1.344121618394649</v>
      </c>
      <c r="G126" s="165">
        <f>AVERAGE(C126:E126)</f>
        <v>-0.2359512698960969</v>
      </c>
      <c r="H126" s="165">
        <f>STDEV(C126:E126)</f>
        <v>0.03496693108772346</v>
      </c>
      <c r="I126" s="165">
        <f>(B126*B4+C126*C4+D126*D4+E126*E4+F126*F4)/SUM(B4:F4)</f>
        <v>0.09966811915934516</v>
      </c>
    </row>
    <row r="127" spans="1:9" ht="12.75">
      <c r="A127" s="165" t="s">
        <v>180</v>
      </c>
      <c r="B127" s="165">
        <f>B87*10000/B62</f>
        <v>0.13905063470254025</v>
      </c>
      <c r="C127" s="165">
        <f>C87*10000/C62</f>
        <v>0.04739719804964357</v>
      </c>
      <c r="D127" s="165">
        <f>D87*10000/D62</f>
        <v>-0.4003103170712322</v>
      </c>
      <c r="E127" s="165">
        <f>E87*10000/E62</f>
        <v>-0.24888635270709863</v>
      </c>
      <c r="F127" s="165">
        <f>F87*10000/F62</f>
        <v>0.2000374490748119</v>
      </c>
      <c r="G127" s="165">
        <f>AVERAGE(C127:E127)</f>
        <v>-0.2005998239095624</v>
      </c>
      <c r="H127" s="165">
        <f>STDEV(C127:E127)</f>
        <v>0.22772614347372105</v>
      </c>
      <c r="I127" s="165">
        <f>(B127*B4+C127*C4+D127*D4+E127*E4+F127*F4)/SUM(B4:F4)</f>
        <v>-0.09798554366891322</v>
      </c>
    </row>
    <row r="128" spans="1:9" ht="12.75">
      <c r="A128" s="165" t="s">
        <v>181</v>
      </c>
      <c r="B128" s="165">
        <f>B88*10000/B62</f>
        <v>-0.08337884841202431</v>
      </c>
      <c r="C128" s="165">
        <f>C88*10000/C62</f>
        <v>-0.054548539539733265</v>
      </c>
      <c r="D128" s="165">
        <f>D88*10000/D62</f>
        <v>0.027882389417617406</v>
      </c>
      <c r="E128" s="165">
        <f>E88*10000/E62</f>
        <v>-0.032959607055295354</v>
      </c>
      <c r="F128" s="165">
        <f>F88*10000/F62</f>
        <v>-0.04214921083580878</v>
      </c>
      <c r="G128" s="165">
        <f>AVERAGE(C128:E128)</f>
        <v>-0.019875252392470403</v>
      </c>
      <c r="H128" s="165">
        <f>STDEV(C128:E128)</f>
        <v>0.04274476301138995</v>
      </c>
      <c r="I128" s="165">
        <f>(B128*B4+C128*C4+D128*D4+E128*E4+F128*F4)/SUM(B4:F4)</f>
        <v>-0.03201872262691378</v>
      </c>
    </row>
    <row r="129" spans="1:9" ht="12.75">
      <c r="A129" s="165" t="s">
        <v>182</v>
      </c>
      <c r="B129" s="165">
        <f>B89*10000/B62</f>
        <v>0.07108402676710351</v>
      </c>
      <c r="C129" s="165">
        <f>C89*10000/C62</f>
        <v>-0.12186845314943923</v>
      </c>
      <c r="D129" s="165">
        <f>D89*10000/D62</f>
        <v>-0.16723208611932405</v>
      </c>
      <c r="E129" s="165">
        <f>E89*10000/E62</f>
        <v>-0.09711164005791387</v>
      </c>
      <c r="F129" s="165">
        <f>F89*10000/F62</f>
        <v>0.05371301446934839</v>
      </c>
      <c r="G129" s="165">
        <f>AVERAGE(C129:E129)</f>
        <v>-0.1287373931088924</v>
      </c>
      <c r="H129" s="165">
        <f>STDEV(C129:E129)</f>
        <v>0.03556129906355653</v>
      </c>
      <c r="I129" s="165">
        <f>(B129*B4+C129*C4+D129*D4+E129*E4+F129*F4)/SUM(B4:F4)</f>
        <v>-0.07549509532694984</v>
      </c>
    </row>
    <row r="130" spans="1:9" ht="12.75">
      <c r="A130" s="165" t="s">
        <v>183</v>
      </c>
      <c r="B130" s="165">
        <f>B90*10000/B62</f>
        <v>0.1151111655728815</v>
      </c>
      <c r="C130" s="165">
        <f>C90*10000/C62</f>
        <v>-0.018120638963268185</v>
      </c>
      <c r="D130" s="165">
        <f>D90*10000/D62</f>
        <v>0.007488433349485074</v>
      </c>
      <c r="E130" s="165">
        <f>E90*10000/E62</f>
        <v>0.04119593419013101</v>
      </c>
      <c r="F130" s="165">
        <f>F90*10000/F62</f>
        <v>0.3678138538305995</v>
      </c>
      <c r="G130" s="165">
        <f>AVERAGE(C130:E130)</f>
        <v>0.010187909525449299</v>
      </c>
      <c r="H130" s="165">
        <f>STDEV(C130:E130)</f>
        <v>0.029750283047125594</v>
      </c>
      <c r="I130" s="165">
        <f>(B130*B4+C130*C4+D130*D4+E130*E4+F130*F4)/SUM(B4:F4)</f>
        <v>0.07316808462998886</v>
      </c>
    </row>
    <row r="131" spans="1:9" ht="12.75">
      <c r="A131" s="165" t="s">
        <v>184</v>
      </c>
      <c r="B131" s="165">
        <f>B91*10000/B62</f>
        <v>-0.017281551015461978</v>
      </c>
      <c r="C131" s="165">
        <f>C91*10000/C62</f>
        <v>-0.02867659699384242</v>
      </c>
      <c r="D131" s="165">
        <f>D91*10000/D62</f>
        <v>-0.08223441034340845</v>
      </c>
      <c r="E131" s="165">
        <f>E91*10000/E62</f>
        <v>-0.04020955335708759</v>
      </c>
      <c r="F131" s="165">
        <f>F91*10000/F62</f>
        <v>0.029413987529209214</v>
      </c>
      <c r="G131" s="165">
        <f>AVERAGE(C131:E131)</f>
        <v>-0.05037352023144615</v>
      </c>
      <c r="H131" s="165">
        <f>STDEV(C131:E131)</f>
        <v>0.028188464123893503</v>
      </c>
      <c r="I131" s="165">
        <f>(B131*B4+C131*C4+D131*D4+E131*E4+F131*F4)/SUM(B4:F4)</f>
        <v>-0.03492518071791105</v>
      </c>
    </row>
    <row r="132" spans="1:9" ht="12.75">
      <c r="A132" s="165" t="s">
        <v>185</v>
      </c>
      <c r="B132" s="165">
        <f>B92*10000/B62</f>
        <v>0.021893603636274406</v>
      </c>
      <c r="C132" s="165">
        <f>C92*10000/C62</f>
        <v>-0.016068075177957716</v>
      </c>
      <c r="D132" s="165">
        <f>D92*10000/D62</f>
        <v>0.010178697315657523</v>
      </c>
      <c r="E132" s="165">
        <f>E92*10000/E62</f>
        <v>-0.0008937993810427976</v>
      </c>
      <c r="F132" s="165">
        <f>F92*10000/F62</f>
        <v>-0.007928394900356196</v>
      </c>
      <c r="G132" s="165">
        <f>AVERAGE(C132:E132)</f>
        <v>-0.0022610590811143303</v>
      </c>
      <c r="H132" s="165">
        <f>STDEV(C132:E132)</f>
        <v>0.013176695940123957</v>
      </c>
      <c r="I132" s="165">
        <f>(B132*B4+C132*C4+D132*D4+E132*E4+F132*F4)/SUM(B4:F4)</f>
        <v>0.00046668144072612084</v>
      </c>
    </row>
    <row r="133" spans="1:9" ht="12.75">
      <c r="A133" s="165" t="s">
        <v>186</v>
      </c>
      <c r="B133" s="165">
        <f>B93*10000/B62</f>
        <v>0.03479395395071163</v>
      </c>
      <c r="C133" s="165">
        <f>C93*10000/C62</f>
        <v>0.03233210180090553</v>
      </c>
      <c r="D133" s="165">
        <f>D93*10000/D62</f>
        <v>0.0044429274026095335</v>
      </c>
      <c r="E133" s="165">
        <f>E93*10000/E62</f>
        <v>0.022364582782121886</v>
      </c>
      <c r="F133" s="165">
        <f>F93*10000/F62</f>
        <v>0.018299588373663432</v>
      </c>
      <c r="G133" s="165">
        <f>AVERAGE(C133:E133)</f>
        <v>0.019713203995212317</v>
      </c>
      <c r="H133" s="165">
        <f>STDEV(C133:E133)</f>
        <v>0.014132369555683071</v>
      </c>
      <c r="I133" s="165">
        <f>(B133*B4+C133*C4+D133*D4+E133*E4+F133*F4)/SUM(B4:F4)</f>
        <v>0.02170035628979923</v>
      </c>
    </row>
    <row r="134" spans="1:9" ht="12.75">
      <c r="A134" s="165" t="s">
        <v>187</v>
      </c>
      <c r="B134" s="165">
        <f>B94*10000/B62</f>
        <v>0.00910392794995776</v>
      </c>
      <c r="C134" s="165">
        <f>C94*10000/C62</f>
        <v>0.012645786289487567</v>
      </c>
      <c r="D134" s="165">
        <f>D94*10000/D62</f>
        <v>0.012695391565204866</v>
      </c>
      <c r="E134" s="165">
        <f>E94*10000/E62</f>
        <v>0.013819605588505632</v>
      </c>
      <c r="F134" s="165">
        <f>F94*10000/F62</f>
        <v>-0.00853079579640171</v>
      </c>
      <c r="G134" s="165">
        <f>AVERAGE(C134:E134)</f>
        <v>0.013053594481066022</v>
      </c>
      <c r="H134" s="165">
        <f>STDEV(C134:E134)</f>
        <v>0.0006638485771509557</v>
      </c>
      <c r="I134" s="165">
        <f>(B134*B4+C134*C4+D134*D4+E134*E4+F134*F4)/SUM(B4:F4)</f>
        <v>0.00959617924638551</v>
      </c>
    </row>
    <row r="135" spans="1:9" ht="12.75">
      <c r="A135" s="165" t="s">
        <v>188</v>
      </c>
      <c r="B135" s="165">
        <f>B95*10000/B62</f>
        <v>-0.0027064651739581442</v>
      </c>
      <c r="C135" s="165">
        <f>C95*10000/C62</f>
        <v>-0.007795102919347061</v>
      </c>
      <c r="D135" s="165">
        <f>D95*10000/D62</f>
        <v>-0.0015939429915775012</v>
      </c>
      <c r="E135" s="165">
        <f>E95*10000/E62</f>
        <v>-0.0041772406181780665</v>
      </c>
      <c r="F135" s="165">
        <f>F95*10000/F62</f>
        <v>0.00508494959178286</v>
      </c>
      <c r="G135" s="165">
        <f>AVERAGE(C135:E135)</f>
        <v>-0.004522095509700876</v>
      </c>
      <c r="H135" s="165">
        <f>STDEV(C135:E135)</f>
        <v>0.003114930141206886</v>
      </c>
      <c r="I135" s="165">
        <f>(B135*B4+C135*C4+D135*D4+E135*E4+F135*F4)/SUM(B4:F4)</f>
        <v>-0.0029749488488480026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2003-12-15T07:50:28Z</cp:lastPrinted>
  <dcterms:created xsi:type="dcterms:W3CDTF">1999-06-17T15:15:05Z</dcterms:created>
  <dcterms:modified xsi:type="dcterms:W3CDTF">2005-10-05T15:16:55Z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