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150_pos1ap2_0" sheetId="2" r:id="rId2"/>
    <sheet name="HCMQAP150_pos2ap2_0" sheetId="3" r:id="rId3"/>
    <sheet name="HCMQAP150_pos3ap2_0" sheetId="4" r:id="rId4"/>
    <sheet name="HCMQAP150_pos4ap2_0" sheetId="5" r:id="rId5"/>
    <sheet name="HCMQAP150_pos5ap2_0" sheetId="6" r:id="rId6"/>
    <sheet name="Lmag_hcmqap" sheetId="7" r:id="rId7"/>
    <sheet name="Result_HCMQAP" sheetId="8" r:id="rId8"/>
  </sheets>
  <definedNames>
    <definedName name="_xlnm.Print_Area" localSheetId="1">'HCMQAP150_pos1ap2_0'!$A$1:$N$28</definedName>
    <definedName name="_xlnm.Print_Area" localSheetId="2">'HCMQAP150_pos2ap2_0'!$A$1:$N$28</definedName>
    <definedName name="_xlnm.Print_Area" localSheetId="3">'HCMQAP150_pos3ap2_0'!$A$1:$N$28</definedName>
    <definedName name="_xlnm.Print_Area" localSheetId="4">'HCMQAP150_pos4ap2_0'!$A$1:$N$28</definedName>
    <definedName name="_xlnm.Print_Area" localSheetId="5">'HCMQAP150_pos5ap2_0'!$A$1:$N$28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<sst xmlns="http://schemas.openxmlformats.org/spreadsheetml/2006/main" count="522" uniqueCount="193">
  <si>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</si>
  <si>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</si>
  <si>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</si>
  <si>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</si>
  <si>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</si>
  <si>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</si>
  <si>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</si>
  <si>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</si>
  <si>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</si>
  <si>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</si>
  <si>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</si>
  <si>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</si>
  <si>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</si>
  <si>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</si>
  <si>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</si>
  <si>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hcmqap150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</si>
  <si>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</si>
  <si>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</si>
  <si>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</si>
  <si>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</si>
  <si>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</si>
  <si>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</si>
  <si>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</si>
  <si>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</si>
  <si>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</si>
  <si>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</si>
  <si>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</si>
  <si>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</si>
  <si>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</si>
  <si>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</si>
  <si>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</si>
  <si>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</si>
  <si>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</si>
  <si>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</si>
  <si>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</si>
  <si>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</si>
  <si>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</si>
  <si>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</si>
  <si>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</si>
  <si>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</si>
  <si>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</si>
  <si>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</si>
  <si>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</si>
  <si>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</si>
  <si>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</si>
  <si>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</si>
  <si>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</si>
  <si>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</si>
  <si>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</si>
  <si>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</si>
  <si>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</si>
  <si>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</si>
  <si>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</si>
  <si>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</si>
  <si>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</si>
  <si>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</si>
  <si>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HCMQAP150_pos5ap2_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</si>
  <si>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</si>
  <si>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</si>
  <si>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</si>
  <si>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-2.253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</si>
  <si>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</si>
  <si>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</si>
  <si>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</si>
  <si>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</si>
  <si>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</si>
  <si>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</si>
  <si>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</si>
  <si>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</si>
  <si>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HCMQAP150_pos1ap2_0</t>
  </si>
  <si>
    <t>16/12/2003</t>
  </si>
  <si>
    <t>±12.5</t>
  </si>
  <si>
    <t>THCMQAP150_pos1ap2_0.xls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</si>
  <si>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-3.748 mT)</t>
    </r>
  </si>
  <si>
    <t>HCMQAP150_pos2ap2_0</t>
  </si>
  <si>
    <t>THCMQAP150_pos2ap2_0.xls</t>
  </si>
  <si>
    <t>HCMQAP150_pos3ap2_0</t>
  </si>
  <si>
    <t>THCMQAP150_pos3ap2_0.xls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</si>
  <si>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-3.749 mT)</t>
    </r>
  </si>
  <si>
    <t>HCMQAP150_pos4ap2_0</t>
  </si>
  <si>
    <t>THCMQAP150_pos4ap2_0.xls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</si>
  <si>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-2.079 mT)</t>
    </r>
  </si>
  <si>
    <t>HCMQAP150_pos5ap2_0</t>
  </si>
  <si>
    <t>THCMQAP150_pos5ap2_0.xls</t>
  </si>
  <si>
    <t>Sommaire : Valeurs intégrales calculées avec les fichiers: HCMQAP150_pos1ap2_0+HCMQAP150_pos2ap2_0+HCMQAP150_pos3ap2_0+HCMQAP150_pos4ap2_0+HCMQAP150_pos5ap2_0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</si>
  <si>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</si>
  <si>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</si>
  <si>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</si>
  <si>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</si>
  <si>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</si>
  <si>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</si>
  <si>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</si>
  <si>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</si>
  <si>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</si>
  <si>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</si>
  <si>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</si>
  <si>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</si>
  <si>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</si>
  <si>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</si>
  <si>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</si>
  <si>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</si>
  <si>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</si>
  <si>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</si>
  <si>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</si>
  <si>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</si>
  <si>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</si>
  <si>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</si>
  <si>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</si>
  <si>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</si>
  <si>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</si>
  <si>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</si>
  <si>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</si>
  <si>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</si>
  <si>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</si>
  <si>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</si>
  <si>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</si>
  <si>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</si>
  <si>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</si>
  <si>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</si>
  <si>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</si>
  <si>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</si>
  <si>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</si>
  <si>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</si>
  <si>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</si>
  <si>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</si>
  <si>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</si>
  <si>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</si>
  <si>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</si>
  <si>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=-3.748</t>
    </r>
  </si>
  <si>
    <t>Gradient (T/m)</t>
  </si>
  <si>
    <t xml:space="preserve"> Tue 16/12/2003       14:38:53</t>
  </si>
  <si>
    <t>LISSNER</t>
  </si>
  <si>
    <t>HCMQAP150</t>
  </si>
  <si>
    <t>Aperture2</t>
  </si>
  <si>
    <t>Position</t>
  </si>
  <si>
    <t>Integrales</t>
  </si>
  <si>
    <t>Cn (T)</t>
  </si>
  <si>
    <t>Angle (Horiz,Cn)</t>
  </si>
  <si>
    <t>b1</t>
  </si>
  <si>
    <t>b2</t>
  </si>
  <si>
    <t>a1</t>
  </si>
  <si>
    <t>a2</t>
  </si>
  <si>
    <t>a3*</t>
  </si>
  <si>
    <t>a4*</t>
  </si>
  <si>
    <t>Temp taupe (deg)</t>
  </si>
  <si>
    <t>Niv init (mrad)</t>
  </si>
  <si>
    <t>Dx moy (mm)</t>
  </si>
  <si>
    <t>Dy moy (mm)</t>
  </si>
  <si>
    <t>C2 centre (T)</t>
  </si>
  <si>
    <t>Long. Mag. (m)</t>
  </si>
  <si>
    <t>* = Integral error  ! = Central error           Conclusion : CONTACT CEA           Duration : 31mn</t>
  </si>
  <si>
    <t>Number of measurement</t>
  </si>
  <si>
    <t>Mean real current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</si>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</sst>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50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316550"/>
        <c:axId val="63304631"/>
      </c:lineChart>
      <c:catAx>
        <c:axId val="44316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43165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70</v>
      </c>
      <c r="B2" s="24">
        <v>80</v>
      </c>
      <c r="C2" s="24" t="s">
        <v>71</v>
      </c>
      <c r="D2" s="25">
        <v>5</v>
      </c>
      <c r="E2" s="25">
        <v>1</v>
      </c>
      <c r="F2" s="26"/>
      <c r="G2" s="26" t="s">
        <v>69</v>
      </c>
      <c r="H2" s="25">
        <v>2847</v>
      </c>
      <c r="I2" s="27" t="s">
        <v>72</v>
      </c>
      <c r="J2" s="30"/>
      <c r="K2" s="28" t="s">
        <v>56</v>
      </c>
      <c r="L2" s="28"/>
      <c r="M2" s="28"/>
      <c r="N2" s="28"/>
    </row>
    <row r="3" spans="1:14" s="29" customFormat="1" ht="15" customHeight="1">
      <c r="A3" s="40" t="s">
        <v>70</v>
      </c>
      <c r="B3" s="24">
        <v>80</v>
      </c>
      <c r="C3" s="24" t="s">
        <v>71</v>
      </c>
      <c r="D3" s="25">
        <v>5</v>
      </c>
      <c r="E3" s="25">
        <v>2</v>
      </c>
      <c r="F3" s="26"/>
      <c r="G3" s="26" t="s">
        <v>74</v>
      </c>
      <c r="H3" s="25">
        <v>2847</v>
      </c>
      <c r="I3" s="27" t="s">
        <v>75</v>
      </c>
      <c r="J3" s="30"/>
      <c r="K3" s="28" t="s">
        <v>56</v>
      </c>
      <c r="L3" s="28"/>
      <c r="M3" s="28"/>
      <c r="N3" s="28"/>
    </row>
    <row r="4" spans="1:14" s="29" customFormat="1" ht="15" customHeight="1">
      <c r="A4" s="40" t="s">
        <v>70</v>
      </c>
      <c r="B4" s="24">
        <v>80</v>
      </c>
      <c r="C4" s="24" t="s">
        <v>71</v>
      </c>
      <c r="D4" s="25">
        <v>5</v>
      </c>
      <c r="E4" s="25">
        <v>3</v>
      </c>
      <c r="F4" s="26"/>
      <c r="G4" s="26" t="s">
        <v>76</v>
      </c>
      <c r="H4" s="25">
        <v>2847</v>
      </c>
      <c r="I4" s="27" t="s">
        <v>77</v>
      </c>
      <c r="J4" s="30"/>
      <c r="K4" s="31" t="s">
        <v>56</v>
      </c>
      <c r="L4" s="31"/>
      <c r="M4" s="31"/>
      <c r="N4" s="28"/>
    </row>
    <row r="5" spans="1:14" s="29" customFormat="1" ht="15" customHeight="1">
      <c r="A5" s="40" t="s">
        <v>70</v>
      </c>
      <c r="B5" s="24">
        <v>80</v>
      </c>
      <c r="C5" s="24" t="s">
        <v>71</v>
      </c>
      <c r="D5" s="25">
        <v>5</v>
      </c>
      <c r="E5" s="25">
        <v>4</v>
      </c>
      <c r="F5" s="26"/>
      <c r="G5" s="26" t="s">
        <v>79</v>
      </c>
      <c r="H5" s="25">
        <v>2847</v>
      </c>
      <c r="I5" s="27" t="s">
        <v>80</v>
      </c>
      <c r="J5" s="30"/>
      <c r="K5" s="28" t="s">
        <v>56</v>
      </c>
      <c r="L5" s="28"/>
      <c r="M5" s="28"/>
      <c r="N5" s="28"/>
    </row>
    <row r="6" spans="1:14" s="29" customFormat="1" ht="15" customHeight="1">
      <c r="A6" s="40" t="s">
        <v>70</v>
      </c>
      <c r="B6" s="24">
        <v>80</v>
      </c>
      <c r="C6" s="24" t="s">
        <v>71</v>
      </c>
      <c r="D6" s="25">
        <v>5</v>
      </c>
      <c r="E6" s="25">
        <v>5</v>
      </c>
      <c r="F6" s="26"/>
      <c r="G6" s="26" t="s">
        <v>82</v>
      </c>
      <c r="H6" s="25">
        <v>2847</v>
      </c>
      <c r="I6" s="27" t="s">
        <v>83</v>
      </c>
      <c r="J6" s="30"/>
      <c r="K6" s="28" t="s">
        <v>56</v>
      </c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57</v>
      </c>
      <c r="E2" s="53"/>
      <c r="F2" s="53"/>
      <c r="G2" s="53"/>
      <c r="H2" s="53"/>
      <c r="I2" s="53"/>
      <c r="J2" s="54"/>
      <c r="K2" s="55">
        <v>8.114027000000001E-06</v>
      </c>
      <c r="L2" s="55">
        <v>1.4741818689018686E-07</v>
      </c>
      <c r="M2" s="55">
        <v>7.263765399999999E-05</v>
      </c>
      <c r="N2" s="56">
        <v>1.7269294706038312E-07</v>
      </c>
    </row>
    <row r="3" spans="1:14" ht="15" customHeight="1">
      <c r="A3" s="57" t="s">
        <v>16</v>
      </c>
      <c r="B3" s="58">
        <v>2</v>
      </c>
      <c r="D3" s="52" t="s">
        <v>58</v>
      </c>
      <c r="E3" s="53"/>
      <c r="F3" s="53"/>
      <c r="G3" s="53"/>
      <c r="H3" s="53"/>
      <c r="I3" s="53"/>
      <c r="J3" s="54"/>
      <c r="K3" s="55">
        <v>-3.2322826999999995E-05</v>
      </c>
      <c r="L3" s="55">
        <v>1.3293241615992148E-07</v>
      </c>
      <c r="M3" s="55">
        <v>1.3126084000000003E-05</v>
      </c>
      <c r="N3" s="56">
        <v>1.9395589195466468E-07</v>
      </c>
    </row>
    <row r="4" spans="1:14" ht="15" customHeight="1">
      <c r="A4" s="57" t="s">
        <v>17</v>
      </c>
      <c r="B4" s="58">
        <v>2</v>
      </c>
      <c r="D4" s="52" t="s">
        <v>59</v>
      </c>
      <c r="E4" s="53"/>
      <c r="F4" s="53"/>
      <c r="G4" s="53"/>
      <c r="H4" s="53"/>
      <c r="I4" s="53"/>
      <c r="J4" s="54"/>
      <c r="K4" s="55">
        <v>-0.0022524814935129117</v>
      </c>
      <c r="L4" s="55">
        <v>-2.0125443592647838E-05</v>
      </c>
      <c r="M4" s="55">
        <v>2.9086782260443938E-08</v>
      </c>
      <c r="N4" s="56">
        <v>4.4672749000000005</v>
      </c>
    </row>
    <row r="5" spans="1:14" ht="15" customHeight="1" thickBot="1">
      <c r="A5" t="s">
        <v>18</v>
      </c>
      <c r="B5" s="59">
        <v>37971.588738425926</v>
      </c>
      <c r="D5" s="60"/>
      <c r="E5" s="61" t="s">
        <v>60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61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62</v>
      </c>
      <c r="E7" s="74" t="s">
        <v>63</v>
      </c>
      <c r="F7" s="75" t="s">
        <v>64</v>
      </c>
      <c r="G7" s="74" t="s">
        <v>65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-0.92667702</v>
      </c>
      <c r="E8" s="78">
        <v>0.00906340609477467</v>
      </c>
      <c r="F8" s="78">
        <v>-0.14894243000000001</v>
      </c>
      <c r="G8" s="78">
        <v>0.013639352397661602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-0.000719890000000023</v>
      </c>
      <c r="E9" s="80">
        <v>0.010493330165938742</v>
      </c>
      <c r="F9" s="84">
        <v>2.6886655999999993</v>
      </c>
      <c r="G9" s="80">
        <v>0.018169475876942686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0.14127979999999998</v>
      </c>
      <c r="E10" s="80">
        <v>0.006907003140074635</v>
      </c>
      <c r="F10" s="80">
        <v>-0.02931251342</v>
      </c>
      <c r="G10" s="80">
        <v>0.015244884099132959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3.7147752999999994</v>
      </c>
      <c r="E11" s="78">
        <v>0.010504925067022209</v>
      </c>
      <c r="F11" s="78">
        <v>0.147584943</v>
      </c>
      <c r="G11" s="78">
        <v>0.01141389651482751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0.066812242</v>
      </c>
      <c r="E12" s="80">
        <v>0.007729824259825453</v>
      </c>
      <c r="F12" s="80">
        <v>0.16585441700000003</v>
      </c>
      <c r="G12" s="80">
        <v>0.005542052276669039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20.770264</v>
      </c>
      <c r="D13" s="83">
        <v>0.164998421</v>
      </c>
      <c r="E13" s="80">
        <v>0.0049311666853160225</v>
      </c>
      <c r="F13" s="80">
        <v>0.13183945446</v>
      </c>
      <c r="G13" s="80">
        <v>0.005431360895119884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-0.0286728226</v>
      </c>
      <c r="E14" s="80">
        <v>0.002806015105458693</v>
      </c>
      <c r="F14" s="80">
        <v>-0.029017442999999997</v>
      </c>
      <c r="G14" s="80">
        <v>0.004223911456679224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-0.28610322</v>
      </c>
      <c r="E15" s="78">
        <v>0.005305512319522565</v>
      </c>
      <c r="F15" s="78">
        <v>0.10920168599999999</v>
      </c>
      <c r="G15" s="78">
        <v>0.0035904109441923346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12.514000000000001</v>
      </c>
      <c r="D16" s="83">
        <v>0.0019433018721999999</v>
      </c>
      <c r="E16" s="80">
        <v>0.0020005892775114436</v>
      </c>
      <c r="F16" s="80">
        <v>0.00639899961</v>
      </c>
      <c r="G16" s="80">
        <v>0.004585510852875744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-0.25600001215934753</v>
      </c>
      <c r="D17" s="83">
        <v>-0.0180970199</v>
      </c>
      <c r="E17" s="80">
        <v>0.0017608491606679513</v>
      </c>
      <c r="F17" s="80">
        <v>-0.009987748000000001</v>
      </c>
      <c r="G17" s="80">
        <v>0.0016977406934293629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47.81100082397461</v>
      </c>
      <c r="D18" s="83">
        <v>0.0077813805</v>
      </c>
      <c r="E18" s="80">
        <v>0.0009652396897128157</v>
      </c>
      <c r="F18" s="80">
        <v>0.05886025800000001</v>
      </c>
      <c r="G18" s="80">
        <v>0.0015804748043087183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-0.4830000102519989</v>
      </c>
      <c r="D19" s="87">
        <v>-0.19463408000000001</v>
      </c>
      <c r="E19" s="80">
        <v>0.0006500291890304919</v>
      </c>
      <c r="F19" s="80">
        <v>0.018512602</v>
      </c>
      <c r="G19" s="80">
        <v>0.0007417921145077491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0.0563404</v>
      </c>
      <c r="D20" s="89">
        <v>-0.0018078898400000001</v>
      </c>
      <c r="E20" s="90">
        <v>0.0014868488365801142</v>
      </c>
      <c r="F20" s="90">
        <v>-0.0026197082</v>
      </c>
      <c r="G20" s="90">
        <v>0.0007462236199684764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0.5487157999999999</v>
      </c>
      <c r="F21" s="3" t="s">
        <v>66</v>
      </c>
    </row>
    <row r="22" spans="1:6" ht="15" customHeight="1">
      <c r="A22" s="57" t="s">
        <v>43</v>
      </c>
      <c r="B22" s="72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0.2559562138916918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-2.2525714</v>
      </c>
      <c r="I25" s="102" t="s">
        <v>49</v>
      </c>
      <c r="J25" s="103"/>
      <c r="K25" s="102"/>
      <c r="L25" s="105">
        <v>3.717705857769062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0.9385702674016396</v>
      </c>
      <c r="I26" s="107" t="s">
        <v>53</v>
      </c>
      <c r="J26" s="108"/>
      <c r="K26" s="107"/>
      <c r="L26" s="110">
        <v>0.3062353028630288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HCMQAP150_pos1ap2_0res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57</v>
      </c>
      <c r="E2" s="53"/>
      <c r="F2" s="53"/>
      <c r="G2" s="53"/>
      <c r="H2" s="53"/>
      <c r="I2" s="53"/>
      <c r="J2" s="54"/>
      <c r="K2" s="55">
        <v>4.1163086E-05</v>
      </c>
      <c r="L2" s="55">
        <v>1.6268145574695135E-07</v>
      </c>
      <c r="M2" s="55">
        <v>0.000105096875</v>
      </c>
      <c r="N2" s="56">
        <v>3.9930918514299393E-07</v>
      </c>
    </row>
    <row r="3" spans="1:14" ht="15" customHeight="1">
      <c r="A3" s="57" t="s">
        <v>16</v>
      </c>
      <c r="B3" s="58">
        <v>2</v>
      </c>
      <c r="D3" s="52" t="s">
        <v>58</v>
      </c>
      <c r="E3" s="53"/>
      <c r="F3" s="53"/>
      <c r="G3" s="53"/>
      <c r="H3" s="53"/>
      <c r="I3" s="53"/>
      <c r="J3" s="54"/>
      <c r="K3" s="55">
        <v>-2.9991694E-05</v>
      </c>
      <c r="L3" s="55">
        <v>1.4167120463926098E-07</v>
      </c>
      <c r="M3" s="55">
        <v>1.3113384999999998E-05</v>
      </c>
      <c r="N3" s="56">
        <v>5.903832263919046E-08</v>
      </c>
    </row>
    <row r="4" spans="1:14" ht="15" customHeight="1">
      <c r="A4" s="57" t="s">
        <v>17</v>
      </c>
      <c r="B4" s="58">
        <v>2</v>
      </c>
      <c r="D4" s="52" t="s">
        <v>59</v>
      </c>
      <c r="E4" s="53"/>
      <c r="F4" s="53"/>
      <c r="G4" s="53"/>
      <c r="H4" s="53"/>
      <c r="I4" s="53"/>
      <c r="J4" s="54"/>
      <c r="K4" s="55">
        <v>-0.0037481149747720334</v>
      </c>
      <c r="L4" s="55">
        <v>-3.732322561460118E-05</v>
      </c>
      <c r="M4" s="55">
        <v>4.423755270003688E-08</v>
      </c>
      <c r="N4" s="56">
        <v>4.9787683000000005</v>
      </c>
    </row>
    <row r="5" spans="1:14" ht="15" customHeight="1" thickBot="1">
      <c r="A5" t="s">
        <v>18</v>
      </c>
      <c r="B5" s="59">
        <v>37971.593252314815</v>
      </c>
      <c r="D5" s="60"/>
      <c r="E5" s="61" t="s">
        <v>73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61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62</v>
      </c>
      <c r="E7" s="74" t="s">
        <v>63</v>
      </c>
      <c r="F7" s="75" t="s">
        <v>64</v>
      </c>
      <c r="G7" s="74" t="s">
        <v>65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-0.61513571</v>
      </c>
      <c r="E8" s="78">
        <v>0.01789893330825379</v>
      </c>
      <c r="F8" s="78">
        <v>-2.7264112000000003</v>
      </c>
      <c r="G8" s="78">
        <v>0.01643457875216066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0.41304973349999996</v>
      </c>
      <c r="E9" s="80">
        <v>0.011081000827520001</v>
      </c>
      <c r="F9" s="84">
        <v>3.9409629</v>
      </c>
      <c r="G9" s="80">
        <v>0.008114825921432603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-0.0969211673</v>
      </c>
      <c r="E10" s="80">
        <v>0.004168376878595332</v>
      </c>
      <c r="F10" s="80">
        <v>-1.0559526</v>
      </c>
      <c r="G10" s="80">
        <v>0.002105218192990857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3.6225777</v>
      </c>
      <c r="E11" s="78">
        <v>0.00762329491480095</v>
      </c>
      <c r="F11" s="78">
        <v>0.01730216897</v>
      </c>
      <c r="G11" s="78">
        <v>0.008773299396130906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0.09880957600000001</v>
      </c>
      <c r="E12" s="80">
        <v>0.004090495065008934</v>
      </c>
      <c r="F12" s="80">
        <v>0.22570097999999997</v>
      </c>
      <c r="G12" s="80">
        <v>0.003841238326193694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20.669556</v>
      </c>
      <c r="D13" s="83">
        <v>0.0336554017</v>
      </c>
      <c r="E13" s="80">
        <v>0.0022654984409186934</v>
      </c>
      <c r="F13" s="80">
        <v>0.32549050999999996</v>
      </c>
      <c r="G13" s="80">
        <v>0.003246386679587971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0.0079437101</v>
      </c>
      <c r="E14" s="80">
        <v>0.0018489399857182876</v>
      </c>
      <c r="F14" s="80">
        <v>-0.053036818</v>
      </c>
      <c r="G14" s="80">
        <v>0.0007234384062008325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-0.041389835</v>
      </c>
      <c r="E15" s="78">
        <v>0.0024311062919770694</v>
      </c>
      <c r="F15" s="78">
        <v>0.057753242</v>
      </c>
      <c r="G15" s="78">
        <v>0.0022176667233324127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12.514199999999999</v>
      </c>
      <c r="D16" s="83">
        <v>0.0233864674</v>
      </c>
      <c r="E16" s="80">
        <v>0.002460067803307263</v>
      </c>
      <c r="F16" s="80">
        <v>0.0088185807</v>
      </c>
      <c r="G16" s="80">
        <v>0.0015989142384482543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0.42800000309944153</v>
      </c>
      <c r="D17" s="83">
        <v>-0.012306651000000002</v>
      </c>
      <c r="E17" s="80">
        <v>0.001051552468165031</v>
      </c>
      <c r="F17" s="80">
        <v>0.013299068</v>
      </c>
      <c r="G17" s="80">
        <v>0.0007209112406572736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0.022235880000000003</v>
      </c>
      <c r="E18" s="80">
        <v>0.0009785395057175705</v>
      </c>
      <c r="F18" s="80">
        <v>0.049606927</v>
      </c>
      <c r="G18" s="80">
        <v>0.0014163985893441494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0.35899999737739563</v>
      </c>
      <c r="D19" s="87">
        <v>-0.17795066</v>
      </c>
      <c r="E19" s="80">
        <v>0.0004830380724075132</v>
      </c>
      <c r="F19" s="80">
        <v>0.017821561000000003</v>
      </c>
      <c r="G19" s="80">
        <v>0.0004577783800638784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0.18193949999999998</v>
      </c>
      <c r="D20" s="89">
        <v>0.00038272869999999995</v>
      </c>
      <c r="E20" s="90">
        <v>0.0001653101403059111</v>
      </c>
      <c r="F20" s="90">
        <v>-0.00621981791</v>
      </c>
      <c r="G20" s="90">
        <v>0.0004492648063500003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0.47848349999999995</v>
      </c>
      <c r="F21" s="3" t="s">
        <v>66</v>
      </c>
    </row>
    <row r="22" spans="1:6" ht="15" customHeight="1">
      <c r="A22" s="57" t="s">
        <v>43</v>
      </c>
      <c r="B22" s="72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0.28526265171457765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-3.7483008</v>
      </c>
      <c r="I25" s="102" t="s">
        <v>49</v>
      </c>
      <c r="J25" s="103"/>
      <c r="K25" s="102"/>
      <c r="L25" s="105">
        <v>3.6226190191059775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2.794943644011923</v>
      </c>
      <c r="I26" s="107" t="s">
        <v>53</v>
      </c>
      <c r="J26" s="108"/>
      <c r="K26" s="107"/>
      <c r="L26" s="110">
        <v>0.07105318714060467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HCMQAP150_pos2ap2_0res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57</v>
      </c>
      <c r="E2" s="53"/>
      <c r="F2" s="53"/>
      <c r="G2" s="53"/>
      <c r="H2" s="53"/>
      <c r="I2" s="53"/>
      <c r="J2" s="54"/>
      <c r="K2" s="55">
        <v>5.9640886E-05</v>
      </c>
      <c r="L2" s="55">
        <v>1.224963615517563E-07</v>
      </c>
      <c r="M2" s="55">
        <v>8.497512800000001E-05</v>
      </c>
      <c r="N2" s="56">
        <v>4.275679211595907E-07</v>
      </c>
    </row>
    <row r="3" spans="1:14" ht="15" customHeight="1">
      <c r="A3" s="57" t="s">
        <v>16</v>
      </c>
      <c r="B3" s="58">
        <v>2</v>
      </c>
      <c r="D3" s="52" t="s">
        <v>58</v>
      </c>
      <c r="E3" s="53"/>
      <c r="F3" s="53"/>
      <c r="G3" s="53"/>
      <c r="H3" s="53"/>
      <c r="I3" s="53"/>
      <c r="J3" s="54"/>
      <c r="K3" s="55">
        <v>-2.9366442000000002E-05</v>
      </c>
      <c r="L3" s="55">
        <v>1.1487018641064414E-07</v>
      </c>
      <c r="M3" s="55">
        <v>1.2232935999999998E-05</v>
      </c>
      <c r="N3" s="56">
        <v>1.8400889705125202E-07</v>
      </c>
    </row>
    <row r="4" spans="1:14" ht="15" customHeight="1">
      <c r="A4" s="57" t="s">
        <v>17</v>
      </c>
      <c r="B4" s="58">
        <v>2</v>
      </c>
      <c r="D4" s="52" t="s">
        <v>59</v>
      </c>
      <c r="E4" s="53"/>
      <c r="F4" s="53"/>
      <c r="G4" s="53"/>
      <c r="H4" s="53"/>
      <c r="I4" s="53"/>
      <c r="J4" s="54"/>
      <c r="K4" s="55">
        <v>-0.0037480552982539655</v>
      </c>
      <c r="L4" s="55">
        <v>-4.104192527617678E-05</v>
      </c>
      <c r="M4" s="55">
        <v>4.867445864233124E-08</v>
      </c>
      <c r="N4" s="56">
        <v>5.4748772</v>
      </c>
    </row>
    <row r="5" spans="1:14" ht="15" customHeight="1" thickBot="1">
      <c r="A5" t="s">
        <v>18</v>
      </c>
      <c r="B5" s="59">
        <v>37971.59767361111</v>
      </c>
      <c r="D5" s="60"/>
      <c r="E5" s="61" t="s">
        <v>73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61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62</v>
      </c>
      <c r="E7" s="74" t="s">
        <v>63</v>
      </c>
      <c r="F7" s="75" t="s">
        <v>64</v>
      </c>
      <c r="G7" s="74" t="s">
        <v>65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-0.33472509</v>
      </c>
      <c r="E8" s="78">
        <v>0.010736368804833321</v>
      </c>
      <c r="F8" s="78">
        <v>-3.0582374999999997</v>
      </c>
      <c r="G8" s="78">
        <v>0.015694797841980537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0.05912266000000001</v>
      </c>
      <c r="E9" s="80">
        <v>0.008625267398660735</v>
      </c>
      <c r="F9" s="80">
        <v>2.4346766000000004</v>
      </c>
      <c r="G9" s="80">
        <v>0.012138804378471464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-0.173728404</v>
      </c>
      <c r="E10" s="80">
        <v>0.005347895308275877</v>
      </c>
      <c r="F10" s="80">
        <v>-1.1472267000000003</v>
      </c>
      <c r="G10" s="80">
        <v>0.006110008630082037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3.7633131</v>
      </c>
      <c r="E11" s="78">
        <v>0.004334832135521125</v>
      </c>
      <c r="F11" s="78">
        <v>0.39507670000000006</v>
      </c>
      <c r="G11" s="78">
        <v>0.0031390273907667024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0.058429456000000005</v>
      </c>
      <c r="E12" s="80">
        <v>0.0052358579372128395</v>
      </c>
      <c r="F12" s="80">
        <v>0.152337971</v>
      </c>
      <c r="G12" s="80">
        <v>0.005097776403635924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20.565796</v>
      </c>
      <c r="D13" s="83">
        <v>0.10932425800000001</v>
      </c>
      <c r="E13" s="80">
        <v>0.004340015978208273</v>
      </c>
      <c r="F13" s="80">
        <v>-0.08964718099999999</v>
      </c>
      <c r="G13" s="80">
        <v>0.00212440386385111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0.00243797788</v>
      </c>
      <c r="E14" s="80">
        <v>0.0016586882501245666</v>
      </c>
      <c r="F14" s="80">
        <v>-0.0436311031</v>
      </c>
      <c r="G14" s="80">
        <v>0.004508773443341324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-0.002352473</v>
      </c>
      <c r="E15" s="78">
        <v>0.0007766949243403101</v>
      </c>
      <c r="F15" s="78">
        <v>0.094954825</v>
      </c>
      <c r="G15" s="78">
        <v>0.0013542503585296354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0.024334857999999997</v>
      </c>
      <c r="E16" s="80">
        <v>0.0006399133333788839</v>
      </c>
      <c r="F16" s="80">
        <v>0.027528288899999996</v>
      </c>
      <c r="G16" s="80">
        <v>0.0017381792504590702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-0.3569999933242798</v>
      </c>
      <c r="D17" s="83">
        <v>-0.011888600999999999</v>
      </c>
      <c r="E17" s="80">
        <v>0.0013155851368056852</v>
      </c>
      <c r="F17" s="80">
        <v>-0.036857629999999995</v>
      </c>
      <c r="G17" s="80">
        <v>0.00146386140146546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28.482999801635742</v>
      </c>
      <c r="D18" s="83">
        <v>0.030336450999999997</v>
      </c>
      <c r="E18" s="80">
        <v>0.00030636374996749445</v>
      </c>
      <c r="F18" s="80">
        <v>0.046397916</v>
      </c>
      <c r="G18" s="80">
        <v>0.001486920137540908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-0.39800000190734863</v>
      </c>
      <c r="D19" s="87">
        <v>-0.18357937</v>
      </c>
      <c r="E19" s="80">
        <v>0.000566402908358737</v>
      </c>
      <c r="F19" s="80">
        <v>0.022003079000000002</v>
      </c>
      <c r="G19" s="80">
        <v>0.00074391887057255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0.2662637</v>
      </c>
      <c r="D20" s="89">
        <v>0.0035100223</v>
      </c>
      <c r="E20" s="90">
        <v>0.0003514709966808937</v>
      </c>
      <c r="F20" s="90">
        <v>-0.0050942789100000005</v>
      </c>
      <c r="G20" s="90">
        <v>0.0006505278675514508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0.3883306</v>
      </c>
      <c r="F21" s="3" t="s">
        <v>66</v>
      </c>
    </row>
    <row r="22" spans="1:6" ht="15" customHeight="1">
      <c r="A22" s="57" t="s">
        <v>43</v>
      </c>
      <c r="B22" s="72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0.3136876218730006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-3.74828</v>
      </c>
      <c r="I25" s="102" t="s">
        <v>49</v>
      </c>
      <c r="J25" s="103"/>
      <c r="K25" s="102"/>
      <c r="L25" s="105">
        <v>3.783994065470307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3.076500851987816</v>
      </c>
      <c r="I26" s="107" t="s">
        <v>53</v>
      </c>
      <c r="J26" s="108"/>
      <c r="K26" s="107"/>
      <c r="L26" s="110">
        <v>0.09498396138294272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HCMQAP150_pos3ap2_0res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57</v>
      </c>
      <c r="E2" s="53"/>
      <c r="F2" s="53"/>
      <c r="G2" s="53"/>
      <c r="H2" s="53"/>
      <c r="I2" s="53"/>
      <c r="J2" s="54"/>
      <c r="K2" s="55">
        <v>6.4494702E-05</v>
      </c>
      <c r="L2" s="55">
        <v>7.89689471646671E-08</v>
      </c>
      <c r="M2" s="55">
        <v>0.0001379982</v>
      </c>
      <c r="N2" s="56">
        <v>1.8315755239403205E-07</v>
      </c>
    </row>
    <row r="3" spans="1:14" ht="15" customHeight="1">
      <c r="A3" s="57" t="s">
        <v>16</v>
      </c>
      <c r="B3" s="58">
        <v>2</v>
      </c>
      <c r="D3" s="52" t="s">
        <v>58</v>
      </c>
      <c r="E3" s="53"/>
      <c r="F3" s="53"/>
      <c r="G3" s="53"/>
      <c r="H3" s="53"/>
      <c r="I3" s="53"/>
      <c r="J3" s="54"/>
      <c r="K3" s="55">
        <v>-3.0084138000000003E-05</v>
      </c>
      <c r="L3" s="55">
        <v>6.894271676988647E-08</v>
      </c>
      <c r="M3" s="55">
        <v>1.1716099999999996E-05</v>
      </c>
      <c r="N3" s="56">
        <v>9.885440303793077E-08</v>
      </c>
    </row>
    <row r="4" spans="1:14" ht="15" customHeight="1">
      <c r="A4" s="57" t="s">
        <v>17</v>
      </c>
      <c r="B4" s="58">
        <v>2</v>
      </c>
      <c r="D4" s="52" t="s">
        <v>59</v>
      </c>
      <c r="E4" s="53"/>
      <c r="F4" s="53"/>
      <c r="G4" s="53"/>
      <c r="H4" s="53"/>
      <c r="I4" s="53"/>
      <c r="J4" s="54"/>
      <c r="K4" s="55">
        <v>-0.003748481897735377</v>
      </c>
      <c r="L4" s="55">
        <v>-5.327063955263527E-05</v>
      </c>
      <c r="M4" s="55">
        <v>3.902230473988487E-08</v>
      </c>
      <c r="N4" s="56">
        <v>7.1051502</v>
      </c>
    </row>
    <row r="5" spans="1:14" ht="15" customHeight="1" thickBot="1">
      <c r="A5" t="s">
        <v>18</v>
      </c>
      <c r="B5" s="59">
        <v>37971.60228009259</v>
      </c>
      <c r="D5" s="60"/>
      <c r="E5" s="61" t="s">
        <v>78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61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62</v>
      </c>
      <c r="E7" s="74" t="s">
        <v>63</v>
      </c>
      <c r="F7" s="75" t="s">
        <v>64</v>
      </c>
      <c r="G7" s="74" t="s">
        <v>65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-1.02568639</v>
      </c>
      <c r="E8" s="78">
        <v>0.0055875479083144445</v>
      </c>
      <c r="F8" s="78">
        <v>-3.2275205999999996</v>
      </c>
      <c r="G8" s="78">
        <v>0.017845592429044342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-0.37815296</v>
      </c>
      <c r="E9" s="80">
        <v>0.012274437770870655</v>
      </c>
      <c r="F9" s="80">
        <v>1.2637664699999998</v>
      </c>
      <c r="G9" s="80">
        <v>0.004639560969868469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0.08756829619999999</v>
      </c>
      <c r="E10" s="80">
        <v>0.0009202737268642574</v>
      </c>
      <c r="F10" s="80">
        <v>-0.8390167700000001</v>
      </c>
      <c r="G10" s="80">
        <v>0.003003679883514166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3.5193286</v>
      </c>
      <c r="E11" s="78">
        <v>0.004486159107646052</v>
      </c>
      <c r="F11" s="78">
        <v>0.19166436</v>
      </c>
      <c r="G11" s="78">
        <v>0.006406667151522626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0.21317922</v>
      </c>
      <c r="E12" s="80">
        <v>0.004321671992596876</v>
      </c>
      <c r="F12" s="80">
        <v>0.027203543999999996</v>
      </c>
      <c r="G12" s="80">
        <v>0.00470092623299538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20.486451</v>
      </c>
      <c r="D13" s="83">
        <v>-0.07338527040000001</v>
      </c>
      <c r="E13" s="80">
        <v>0.0035284081113825367</v>
      </c>
      <c r="F13" s="80">
        <v>-0.15659025340000002</v>
      </c>
      <c r="G13" s="80">
        <v>0.0024600717902500714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0.033784018</v>
      </c>
      <c r="E14" s="80">
        <v>0.0015009019810121192</v>
      </c>
      <c r="F14" s="80">
        <v>-0.10438197199999999</v>
      </c>
      <c r="G14" s="80">
        <v>0.002057478864792635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-0.008920948000000001</v>
      </c>
      <c r="E15" s="78">
        <v>0.001737780392663585</v>
      </c>
      <c r="F15" s="78">
        <v>0.056345857</v>
      </c>
      <c r="G15" s="78">
        <v>0.0029801143216134944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12.514499999999998</v>
      </c>
      <c r="D16" s="83">
        <v>0.012194134698999999</v>
      </c>
      <c r="E16" s="80">
        <v>0.0021230820871211914</v>
      </c>
      <c r="F16" s="80">
        <v>-0.011212077970000001</v>
      </c>
      <c r="G16" s="80">
        <v>0.0018132519753898165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0.49000000953674316</v>
      </c>
      <c r="D17" s="83">
        <v>-0.011486449</v>
      </c>
      <c r="E17" s="80">
        <v>0.001126283045257277</v>
      </c>
      <c r="F17" s="80">
        <v>-0.030379017</v>
      </c>
      <c r="G17" s="80">
        <v>0.0018419028892821185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-0.5090000033378601</v>
      </c>
      <c r="D18" s="83">
        <v>0.029864019</v>
      </c>
      <c r="E18" s="80">
        <v>0.0009109989829929356</v>
      </c>
      <c r="F18" s="80">
        <v>0.059664911</v>
      </c>
      <c r="G18" s="80">
        <v>0.001047631193190033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0.42800000309944153</v>
      </c>
      <c r="D19" s="87">
        <v>-0.18075823</v>
      </c>
      <c r="E19" s="80">
        <v>0.0009583448124814614</v>
      </c>
      <c r="F19" s="80">
        <v>0.019120803000000002</v>
      </c>
      <c r="G19" s="80">
        <v>0.0016454607167647457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0.283553</v>
      </c>
      <c r="D20" s="89">
        <v>-0.0018558839</v>
      </c>
      <c r="E20" s="90">
        <v>0.0005875618736796798</v>
      </c>
      <c r="F20" s="90">
        <v>-0.00312068932</v>
      </c>
      <c r="G20" s="90">
        <v>0.0006485526469712155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0.6298643</v>
      </c>
      <c r="F21" s="3" t="s">
        <v>66</v>
      </c>
    </row>
    <row r="22" spans="1:6" ht="15" customHeight="1">
      <c r="A22" s="57" t="s">
        <v>43</v>
      </c>
      <c r="B22" s="72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0.40709546312536005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-3.7488604000000003</v>
      </c>
      <c r="I25" s="102" t="s">
        <v>49</v>
      </c>
      <c r="J25" s="103"/>
      <c r="K25" s="102"/>
      <c r="L25" s="105">
        <v>3.524543803341387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3.3865796600782314</v>
      </c>
      <c r="I26" s="107" t="s">
        <v>53</v>
      </c>
      <c r="J26" s="108"/>
      <c r="K26" s="107"/>
      <c r="L26" s="110">
        <v>0.057047689824244005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HCMQAP150_pos4ap2_0res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57</v>
      </c>
      <c r="E2" s="53"/>
      <c r="F2" s="53"/>
      <c r="G2" s="53"/>
      <c r="H2" s="53"/>
      <c r="I2" s="53"/>
      <c r="J2" s="54"/>
      <c r="K2" s="55">
        <v>3.84010531E-05</v>
      </c>
      <c r="L2" s="55">
        <v>7.193305096081514E-08</v>
      </c>
      <c r="M2" s="55">
        <v>9.2465452E-05</v>
      </c>
      <c r="N2" s="56">
        <v>5.379305389583899E-08</v>
      </c>
    </row>
    <row r="3" spans="1:14" ht="15" customHeight="1">
      <c r="A3" s="57" t="s">
        <v>16</v>
      </c>
      <c r="B3" s="58">
        <v>2</v>
      </c>
      <c r="D3" s="52" t="s">
        <v>58</v>
      </c>
      <c r="E3" s="53"/>
      <c r="F3" s="53"/>
      <c r="G3" s="53"/>
      <c r="H3" s="53"/>
      <c r="I3" s="53"/>
      <c r="J3" s="54"/>
      <c r="K3" s="55">
        <v>-3.2317988899999996E-05</v>
      </c>
      <c r="L3" s="55">
        <v>1.3630878173928173E-07</v>
      </c>
      <c r="M3" s="55">
        <v>1.0992048E-05</v>
      </c>
      <c r="N3" s="56">
        <v>1.3115922097207226E-07</v>
      </c>
    </row>
    <row r="4" spans="1:14" ht="15" customHeight="1">
      <c r="A4" s="57" t="s">
        <v>17</v>
      </c>
      <c r="B4" s="58">
        <v>2</v>
      </c>
      <c r="D4" s="52" t="s">
        <v>59</v>
      </c>
      <c r="E4" s="53"/>
      <c r="F4" s="53"/>
      <c r="G4" s="53"/>
      <c r="H4" s="53"/>
      <c r="I4" s="53"/>
      <c r="J4" s="54"/>
      <c r="K4" s="55">
        <v>-0.002078894505594692</v>
      </c>
      <c r="L4" s="55">
        <v>-3.310020501752607E-05</v>
      </c>
      <c r="M4" s="55">
        <v>7.576740233839144E-08</v>
      </c>
      <c r="N4" s="56">
        <v>7.9603386</v>
      </c>
    </row>
    <row r="5" spans="1:14" ht="15" customHeight="1" thickBot="1">
      <c r="A5" t="s">
        <v>18</v>
      </c>
      <c r="B5" s="59">
        <v>37971.60679398148</v>
      </c>
      <c r="D5" s="60"/>
      <c r="E5" s="61" t="s">
        <v>81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2847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61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62</v>
      </c>
      <c r="E7" s="74" t="s">
        <v>63</v>
      </c>
      <c r="F7" s="75" t="s">
        <v>64</v>
      </c>
      <c r="G7" s="74" t="s">
        <v>65</v>
      </c>
      <c r="H7" s="76"/>
      <c r="I7" s="167" t="s">
        <v>24</v>
      </c>
      <c r="J7" s="168"/>
      <c r="K7" s="167" t="s">
        <v>25</v>
      </c>
      <c r="L7" s="168"/>
      <c r="M7" s="167" t="s">
        <v>26</v>
      </c>
      <c r="N7" s="169"/>
    </row>
    <row r="8" spans="1:14" ht="15" customHeight="1">
      <c r="A8" s="57" t="s">
        <v>27</v>
      </c>
      <c r="B8" s="72" t="s">
        <v>28</v>
      </c>
      <c r="D8" s="77">
        <v>-0.83519831</v>
      </c>
      <c r="E8" s="78">
        <v>0.020194662751879443</v>
      </c>
      <c r="F8" s="78">
        <v>3.2420362999999996</v>
      </c>
      <c r="G8" s="78">
        <v>0.03919121434281462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-1.1071347800000002</v>
      </c>
      <c r="E9" s="80">
        <v>0.010109089311416077</v>
      </c>
      <c r="F9" s="84">
        <v>3.7870034000000006</v>
      </c>
      <c r="G9" s="80">
        <v>0.014667185044744084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-1.21357045</v>
      </c>
      <c r="E10" s="80">
        <v>0.006571832174316027</v>
      </c>
      <c r="F10" s="80">
        <v>-1.3747219</v>
      </c>
      <c r="G10" s="80">
        <v>0.009660995075056134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5">
        <v>14.196875999999998</v>
      </c>
      <c r="E11" s="78">
        <v>0.009382580349735527</v>
      </c>
      <c r="F11" s="78">
        <v>1.3186430000000002</v>
      </c>
      <c r="G11" s="78">
        <v>0.010138541931654222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5">
        <v>0.7499</v>
      </c>
      <c r="D12" s="83">
        <v>-0.23245718</v>
      </c>
      <c r="E12" s="80">
        <v>0.0016287427171283342</v>
      </c>
      <c r="F12" s="80">
        <v>0.0232813552</v>
      </c>
      <c r="G12" s="80">
        <v>0.01183403596465965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20.483399</v>
      </c>
      <c r="D13" s="83">
        <v>-0.133941603</v>
      </c>
      <c r="E13" s="80">
        <v>0.006146680058937474</v>
      </c>
      <c r="F13" s="80">
        <v>0.18591658</v>
      </c>
      <c r="G13" s="80">
        <v>0.004905625203335904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6">
        <v>12.5</v>
      </c>
      <c r="D14" s="83">
        <v>-0.011400694999999999</v>
      </c>
      <c r="E14" s="80">
        <v>0.005698440850170333</v>
      </c>
      <c r="F14" s="80">
        <v>-0.07195079000000001</v>
      </c>
      <c r="G14" s="80">
        <v>0.00352868580284359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-0.30410779000000004</v>
      </c>
      <c r="E15" s="78">
        <v>0.004233814528337712</v>
      </c>
      <c r="F15" s="78">
        <v>0.27958065</v>
      </c>
      <c r="G15" s="78">
        <v>0.00453725486533477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12.5147</v>
      </c>
      <c r="D16" s="83">
        <v>-0.016970088</v>
      </c>
      <c r="E16" s="80">
        <v>0.002039996202305219</v>
      </c>
      <c r="F16" s="80">
        <v>0.00323381</v>
      </c>
      <c r="G16" s="80">
        <v>0.0010655845848440645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-0.3140000104904175</v>
      </c>
      <c r="D17" s="83">
        <v>-0.022072322</v>
      </c>
      <c r="E17" s="80">
        <v>0.0032888909737198643</v>
      </c>
      <c r="F17" s="80">
        <v>0.0157580082</v>
      </c>
      <c r="G17" s="80">
        <v>0.0033954660201063664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24.413999557495117</v>
      </c>
      <c r="D18" s="83">
        <v>0.010926253458999998</v>
      </c>
      <c r="E18" s="80">
        <v>0.002052360690074697</v>
      </c>
      <c r="F18" s="80">
        <v>0.037949301000000005</v>
      </c>
      <c r="G18" s="80">
        <v>0.00216680851746386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-0.3799999952316284</v>
      </c>
      <c r="D19" s="83">
        <v>-0.1357576</v>
      </c>
      <c r="E19" s="80">
        <v>0.0009547565590232926</v>
      </c>
      <c r="F19" s="80">
        <v>-0.017597798999999997</v>
      </c>
      <c r="G19" s="80">
        <v>0.0026434894797131418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8">
        <v>0.3018945</v>
      </c>
      <c r="D20" s="89">
        <v>0.00166119521</v>
      </c>
      <c r="E20" s="90">
        <v>0.0010700692896261188</v>
      </c>
      <c r="F20" s="90">
        <v>0.00803679291</v>
      </c>
      <c r="G20" s="90">
        <v>0.002914683134599566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7" t="s">
        <v>42</v>
      </c>
      <c r="B21" s="88">
        <v>0.7609254</v>
      </c>
      <c r="F21" s="3" t="s">
        <v>66</v>
      </c>
    </row>
    <row r="22" spans="1:6" ht="15" customHeight="1">
      <c r="A22" s="57" t="s">
        <v>43</v>
      </c>
      <c r="B22" s="72" t="s">
        <v>44</v>
      </c>
      <c r="F22" s="3" t="s">
        <v>67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68</v>
      </c>
      <c r="B24" s="96">
        <v>0.4560941905213602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5" t="s">
        <v>47</v>
      </c>
      <c r="B25" s="46">
        <v>10</v>
      </c>
      <c r="E25" s="101" t="s">
        <v>48</v>
      </c>
      <c r="F25" s="102"/>
      <c r="G25" s="103"/>
      <c r="H25" s="104">
        <v>-2.079158</v>
      </c>
      <c r="I25" s="102" t="s">
        <v>49</v>
      </c>
      <c r="J25" s="103"/>
      <c r="K25" s="102"/>
      <c r="L25" s="105">
        <v>14.257983992164704</v>
      </c>
    </row>
    <row r="26" spans="1:12" ht="18" customHeight="1" thickBot="1">
      <c r="A26" s="57" t="s">
        <v>50</v>
      </c>
      <c r="B26" s="58" t="s">
        <v>51</v>
      </c>
      <c r="E26" s="106" t="s">
        <v>52</v>
      </c>
      <c r="F26" s="107"/>
      <c r="G26" s="108"/>
      <c r="H26" s="109">
        <v>3.3478882280542974</v>
      </c>
      <c r="I26" s="107" t="s">
        <v>53</v>
      </c>
      <c r="J26" s="108"/>
      <c r="K26" s="107"/>
      <c r="L26" s="110">
        <v>0.41309428438687773</v>
      </c>
    </row>
    <row r="27" spans="1:2" ht="15" customHeight="1" thickBot="1" thickTop="1">
      <c r="A27" s="93" t="s">
        <v>54</v>
      </c>
      <c r="B27" s="94">
        <v>80</v>
      </c>
    </row>
    <row r="28" spans="1:14" s="2" customFormat="1" ht="18" customHeight="1" thickBot="1">
      <c r="A28" s="111" t="s">
        <v>55</v>
      </c>
      <c r="B28" s="112" t="s">
        <v>56</v>
      </c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HCMQAP150_pos5ap2_0res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8" t="s">
        <v>121</v>
      </c>
      <c r="B1" s="130" t="s">
        <v>69</v>
      </c>
      <c r="C1" s="120" t="s">
        <v>74</v>
      </c>
      <c r="D1" s="120" t="s">
        <v>76</v>
      </c>
      <c r="E1" s="120" t="s">
        <v>79</v>
      </c>
      <c r="F1" s="127" t="s">
        <v>82</v>
      </c>
      <c r="G1" s="162" t="s">
        <v>122</v>
      </c>
    </row>
    <row r="2" spans="1:7" ht="13.5" thickBot="1">
      <c r="A2" s="139" t="s">
        <v>91</v>
      </c>
      <c r="B2" s="131">
        <v>-2.2525714</v>
      </c>
      <c r="C2" s="122">
        <v>-3.7483008</v>
      </c>
      <c r="D2" s="122">
        <v>-3.74828</v>
      </c>
      <c r="E2" s="122">
        <v>-3.7488604000000003</v>
      </c>
      <c r="F2" s="128">
        <v>-2.079158</v>
      </c>
      <c r="G2" s="163">
        <v>3.1162815291604566</v>
      </c>
    </row>
    <row r="3" spans="1:7" ht="14.25" thickBot="1" thickTop="1">
      <c r="A3" s="147" t="s">
        <v>90</v>
      </c>
      <c r="B3" s="148" t="s">
        <v>85</v>
      </c>
      <c r="C3" s="149" t="s">
        <v>86</v>
      </c>
      <c r="D3" s="149" t="s">
        <v>87</v>
      </c>
      <c r="E3" s="149" t="s">
        <v>88</v>
      </c>
      <c r="F3" s="150" t="s">
        <v>89</v>
      </c>
      <c r="G3" s="157" t="s">
        <v>123</v>
      </c>
    </row>
    <row r="4" spans="1:7" ht="12.75">
      <c r="A4" s="144" t="s">
        <v>92</v>
      </c>
      <c r="B4" s="145">
        <v>-0.92667702</v>
      </c>
      <c r="C4" s="146">
        <v>-0.61513571</v>
      </c>
      <c r="D4" s="146">
        <v>-0.33472509</v>
      </c>
      <c r="E4" s="146">
        <v>-1.02568639</v>
      </c>
      <c r="F4" s="151">
        <v>-0.83519831</v>
      </c>
      <c r="G4" s="158">
        <v>-0.7208900648907917</v>
      </c>
    </row>
    <row r="5" spans="1:7" ht="12.75">
      <c r="A5" s="139" t="s">
        <v>94</v>
      </c>
      <c r="B5" s="133">
        <v>-0.000719890000000023</v>
      </c>
      <c r="C5" s="118">
        <v>0.41304973349999996</v>
      </c>
      <c r="D5" s="118">
        <v>0.05912266000000001</v>
      </c>
      <c r="E5" s="118">
        <v>-0.37815296</v>
      </c>
      <c r="F5" s="152">
        <v>-1.1071347800000002</v>
      </c>
      <c r="G5" s="159">
        <v>-0.12526854298459913</v>
      </c>
    </row>
    <row r="6" spans="1:7" ht="12.75">
      <c r="A6" s="139" t="s">
        <v>96</v>
      </c>
      <c r="B6" s="133">
        <v>0.14127979999999998</v>
      </c>
      <c r="C6" s="118">
        <v>-0.0969211673</v>
      </c>
      <c r="D6" s="118">
        <v>-0.173728404</v>
      </c>
      <c r="E6" s="118">
        <v>0.08756829619999999</v>
      </c>
      <c r="F6" s="152">
        <v>-1.21357045</v>
      </c>
      <c r="G6" s="159">
        <v>-0.1856019311977217</v>
      </c>
    </row>
    <row r="7" spans="1:7" ht="12.75">
      <c r="A7" s="139" t="s">
        <v>98</v>
      </c>
      <c r="B7" s="132">
        <v>3.7147752999999994</v>
      </c>
      <c r="C7" s="116">
        <v>3.6225777</v>
      </c>
      <c r="D7" s="116">
        <v>3.7633131</v>
      </c>
      <c r="E7" s="116">
        <v>3.5193286</v>
      </c>
      <c r="F7" s="153">
        <v>14.196875999999998</v>
      </c>
      <c r="G7" s="159">
        <v>5.05632766512694</v>
      </c>
    </row>
    <row r="8" spans="1:7" ht="12.75">
      <c r="A8" s="139" t="s">
        <v>100</v>
      </c>
      <c r="B8" s="133">
        <v>0.066812242</v>
      </c>
      <c r="C8" s="118">
        <v>0.09880957600000001</v>
      </c>
      <c r="D8" s="118">
        <v>0.058429456000000005</v>
      </c>
      <c r="E8" s="118">
        <v>0.21317922</v>
      </c>
      <c r="F8" s="152">
        <v>-0.23245718</v>
      </c>
      <c r="G8" s="159">
        <v>0.06777490452018724</v>
      </c>
    </row>
    <row r="9" spans="1:7" ht="12.75">
      <c r="A9" s="139" t="s">
        <v>102</v>
      </c>
      <c r="B9" s="133">
        <v>0.164998421</v>
      </c>
      <c r="C9" s="118">
        <v>0.0336554017</v>
      </c>
      <c r="D9" s="118">
        <v>0.10932425800000001</v>
      </c>
      <c r="E9" s="118">
        <v>-0.07338527040000001</v>
      </c>
      <c r="F9" s="152">
        <v>-0.133941603</v>
      </c>
      <c r="G9" s="159">
        <v>0.022725714612530763</v>
      </c>
    </row>
    <row r="10" spans="1:7" ht="12.75">
      <c r="A10" s="139" t="s">
        <v>104</v>
      </c>
      <c r="B10" s="133">
        <v>-0.0286728226</v>
      </c>
      <c r="C10" s="118">
        <v>0.0079437101</v>
      </c>
      <c r="D10" s="118">
        <v>0.00243797788</v>
      </c>
      <c r="E10" s="118">
        <v>0.033784018</v>
      </c>
      <c r="F10" s="152">
        <v>-0.011400694999999999</v>
      </c>
      <c r="G10" s="159">
        <v>0.004960707018454818</v>
      </c>
    </row>
    <row r="11" spans="1:7" ht="12.75">
      <c r="A11" s="139" t="s">
        <v>106</v>
      </c>
      <c r="B11" s="132">
        <v>-0.28610322</v>
      </c>
      <c r="C11" s="116">
        <v>-0.041389835</v>
      </c>
      <c r="D11" s="116">
        <v>-0.002352473</v>
      </c>
      <c r="E11" s="116">
        <v>-0.008920948000000001</v>
      </c>
      <c r="F11" s="154">
        <v>-0.30410779000000004</v>
      </c>
      <c r="G11" s="159">
        <v>-0.09463584760939804</v>
      </c>
    </row>
    <row r="12" spans="1:7" ht="12.75">
      <c r="A12" s="139" t="s">
        <v>108</v>
      </c>
      <c r="B12" s="133">
        <v>0.0019433018721999999</v>
      </c>
      <c r="C12" s="118">
        <v>0.0233864674</v>
      </c>
      <c r="D12" s="118">
        <v>0.024334857999999997</v>
      </c>
      <c r="E12" s="118">
        <v>0.012194134698999999</v>
      </c>
      <c r="F12" s="152">
        <v>-0.016970088</v>
      </c>
      <c r="G12" s="159">
        <v>0.01243367114995589</v>
      </c>
    </row>
    <row r="13" spans="1:7" ht="12.75">
      <c r="A13" s="139" t="s">
        <v>110</v>
      </c>
      <c r="B13" s="133">
        <v>-0.0180970199</v>
      </c>
      <c r="C13" s="118">
        <v>-0.012306651000000002</v>
      </c>
      <c r="D13" s="118">
        <v>-0.011888600999999999</v>
      </c>
      <c r="E13" s="118">
        <v>-0.011486449</v>
      </c>
      <c r="F13" s="152">
        <v>-0.022072322</v>
      </c>
      <c r="G13" s="159">
        <v>-0.014149463269951429</v>
      </c>
    </row>
    <row r="14" spans="1:7" ht="12.75">
      <c r="A14" s="139" t="s">
        <v>112</v>
      </c>
      <c r="B14" s="133">
        <v>0.0077813805</v>
      </c>
      <c r="C14" s="118">
        <v>0.022235880000000003</v>
      </c>
      <c r="D14" s="118">
        <v>0.030336450999999997</v>
      </c>
      <c r="E14" s="118">
        <v>0.029864019</v>
      </c>
      <c r="F14" s="152">
        <v>0.010926253458999998</v>
      </c>
      <c r="G14" s="159">
        <v>0.02242113468392372</v>
      </c>
    </row>
    <row r="15" spans="1:7" ht="12.75">
      <c r="A15" s="139" t="s">
        <v>114</v>
      </c>
      <c r="B15" s="134">
        <v>-0.19463408000000001</v>
      </c>
      <c r="C15" s="117">
        <v>-0.17795066</v>
      </c>
      <c r="D15" s="117">
        <v>-0.18357937</v>
      </c>
      <c r="E15" s="117">
        <v>-0.18075823</v>
      </c>
      <c r="F15" s="152">
        <v>-0.1357576</v>
      </c>
      <c r="G15" s="159">
        <v>-0.17676159461316626</v>
      </c>
    </row>
    <row r="16" spans="1:7" ht="12.75">
      <c r="A16" s="139" t="s">
        <v>116</v>
      </c>
      <c r="B16" s="133">
        <v>-0.0018078898400000001</v>
      </c>
      <c r="C16" s="118">
        <v>0.00038272869999999995</v>
      </c>
      <c r="D16" s="118">
        <v>0.0035100223</v>
      </c>
      <c r="E16" s="118">
        <v>-0.0018558839</v>
      </c>
      <c r="F16" s="152">
        <v>0.00166119521</v>
      </c>
      <c r="G16" s="159">
        <v>0.00045034913990272423</v>
      </c>
    </row>
    <row r="17" spans="1:7" ht="12.75">
      <c r="A17" s="139" t="s">
        <v>93</v>
      </c>
      <c r="B17" s="132">
        <v>-0.14894243000000001</v>
      </c>
      <c r="C17" s="116">
        <v>-2.7264112000000003</v>
      </c>
      <c r="D17" s="116">
        <v>-3.0582374999999997</v>
      </c>
      <c r="E17" s="116">
        <v>-3.2275205999999996</v>
      </c>
      <c r="F17" s="154">
        <v>3.2420362999999996</v>
      </c>
      <c r="G17" s="159">
        <v>-1.7574989937352488</v>
      </c>
    </row>
    <row r="18" spans="1:7" ht="12.75">
      <c r="A18" s="139" t="s">
        <v>95</v>
      </c>
      <c r="B18" s="134">
        <v>2.6886655999999993</v>
      </c>
      <c r="C18" s="117">
        <v>3.9409629</v>
      </c>
      <c r="D18" s="118">
        <v>2.4346766000000004</v>
      </c>
      <c r="E18" s="118">
        <v>1.2637664699999998</v>
      </c>
      <c r="F18" s="155">
        <v>3.7870034000000006</v>
      </c>
      <c r="G18" s="160">
        <v>2.7325654198831297</v>
      </c>
    </row>
    <row r="19" spans="1:7" ht="12.75">
      <c r="A19" s="139" t="s">
        <v>97</v>
      </c>
      <c r="B19" s="133">
        <v>-0.02931251342</v>
      </c>
      <c r="C19" s="118">
        <v>-1.0559526</v>
      </c>
      <c r="D19" s="118">
        <v>-1.1472267000000003</v>
      </c>
      <c r="E19" s="118">
        <v>-0.8390167700000001</v>
      </c>
      <c r="F19" s="152">
        <v>-1.3747219</v>
      </c>
      <c r="G19" s="159">
        <v>-0.9197950351753352</v>
      </c>
    </row>
    <row r="20" spans="1:7" ht="12.75">
      <c r="A20" s="139" t="s">
        <v>99</v>
      </c>
      <c r="B20" s="132">
        <v>0.147584943</v>
      </c>
      <c r="C20" s="116">
        <v>0.01730216897</v>
      </c>
      <c r="D20" s="116">
        <v>0.39507670000000006</v>
      </c>
      <c r="E20" s="116">
        <v>0.19166436</v>
      </c>
      <c r="F20" s="154">
        <v>1.3186430000000002</v>
      </c>
      <c r="G20" s="159">
        <v>0.3427032840244917</v>
      </c>
    </row>
    <row r="21" spans="1:7" ht="12.75">
      <c r="A21" s="139" t="s">
        <v>101</v>
      </c>
      <c r="B21" s="133">
        <v>0.16585441700000003</v>
      </c>
      <c r="C21" s="118">
        <v>0.22570097999999997</v>
      </c>
      <c r="D21" s="118">
        <v>0.152337971</v>
      </c>
      <c r="E21" s="118">
        <v>0.027203543999999996</v>
      </c>
      <c r="F21" s="152">
        <v>0.0232813552</v>
      </c>
      <c r="G21" s="159">
        <v>0.12460461560899364</v>
      </c>
    </row>
    <row r="22" spans="1:7" ht="12.75">
      <c r="A22" s="139" t="s">
        <v>103</v>
      </c>
      <c r="B22" s="133">
        <v>0.13183945446</v>
      </c>
      <c r="C22" s="118">
        <v>0.32549050999999996</v>
      </c>
      <c r="D22" s="118">
        <v>-0.08964718099999999</v>
      </c>
      <c r="E22" s="118">
        <v>-0.15659025340000002</v>
      </c>
      <c r="F22" s="152">
        <v>0.18591658</v>
      </c>
      <c r="G22" s="159">
        <v>0.06294508532745612</v>
      </c>
    </row>
    <row r="23" spans="1:7" ht="12.75">
      <c r="A23" s="139" t="s">
        <v>105</v>
      </c>
      <c r="B23" s="133">
        <v>-0.029017442999999997</v>
      </c>
      <c r="C23" s="118">
        <v>-0.053036818</v>
      </c>
      <c r="D23" s="118">
        <v>-0.0436311031</v>
      </c>
      <c r="E23" s="118">
        <v>-0.10438197199999999</v>
      </c>
      <c r="F23" s="152">
        <v>-0.07195079000000001</v>
      </c>
      <c r="G23" s="159">
        <v>-0.06218163281905517</v>
      </c>
    </row>
    <row r="24" spans="1:7" ht="12.75">
      <c r="A24" s="139" t="s">
        <v>107</v>
      </c>
      <c r="B24" s="132">
        <v>0.10920168599999999</v>
      </c>
      <c r="C24" s="116">
        <v>0.057753242</v>
      </c>
      <c r="D24" s="116">
        <v>0.094954825</v>
      </c>
      <c r="E24" s="116">
        <v>0.056345857</v>
      </c>
      <c r="F24" s="154">
        <v>0.27958065</v>
      </c>
      <c r="G24" s="159">
        <v>0.10341438299851687</v>
      </c>
    </row>
    <row r="25" spans="1:7" ht="12.75">
      <c r="A25" s="139" t="s">
        <v>109</v>
      </c>
      <c r="B25" s="133">
        <v>0.00639899961</v>
      </c>
      <c r="C25" s="118">
        <v>0.0088185807</v>
      </c>
      <c r="D25" s="118">
        <v>0.027528288899999996</v>
      </c>
      <c r="E25" s="118">
        <v>-0.011212077970000001</v>
      </c>
      <c r="F25" s="152">
        <v>0.00323381</v>
      </c>
      <c r="G25" s="159">
        <v>0.0074046642430300085</v>
      </c>
    </row>
    <row r="26" spans="1:7" ht="12.75">
      <c r="A26" s="139" t="s">
        <v>111</v>
      </c>
      <c r="B26" s="133">
        <v>-0.009987748000000001</v>
      </c>
      <c r="C26" s="118">
        <v>0.013299068</v>
      </c>
      <c r="D26" s="118">
        <v>-0.036857629999999995</v>
      </c>
      <c r="E26" s="118">
        <v>-0.030379017</v>
      </c>
      <c r="F26" s="152">
        <v>0.0157580082</v>
      </c>
      <c r="G26" s="159">
        <v>-0.012320930134583234</v>
      </c>
    </row>
    <row r="27" spans="1:7" ht="12.75">
      <c r="A27" s="139" t="s">
        <v>113</v>
      </c>
      <c r="B27" s="133">
        <v>0.05886025800000001</v>
      </c>
      <c r="C27" s="118">
        <v>0.049606927</v>
      </c>
      <c r="D27" s="118">
        <v>0.046397916</v>
      </c>
      <c r="E27" s="118">
        <v>0.059664911</v>
      </c>
      <c r="F27" s="152">
        <v>0.037949301000000005</v>
      </c>
      <c r="G27" s="159">
        <v>0.05103744664628153</v>
      </c>
    </row>
    <row r="28" spans="1:7" ht="12.75">
      <c r="A28" s="139" t="s">
        <v>115</v>
      </c>
      <c r="B28" s="133">
        <v>0.018512602</v>
      </c>
      <c r="C28" s="118">
        <v>0.017821561000000003</v>
      </c>
      <c r="D28" s="118">
        <v>0.022003079000000002</v>
      </c>
      <c r="E28" s="118">
        <v>0.019120803000000002</v>
      </c>
      <c r="F28" s="152">
        <v>-0.017597798999999997</v>
      </c>
      <c r="G28" s="159">
        <v>0.014512766954103386</v>
      </c>
    </row>
    <row r="29" spans="1:7" ht="13.5" thickBot="1">
      <c r="A29" s="140" t="s">
        <v>117</v>
      </c>
      <c r="B29" s="135">
        <v>-0.0026197082</v>
      </c>
      <c r="C29" s="119">
        <v>-0.00621981791</v>
      </c>
      <c r="D29" s="119">
        <v>-0.0050942789100000005</v>
      </c>
      <c r="E29" s="119">
        <v>-0.00312068932</v>
      </c>
      <c r="F29" s="156">
        <v>0.00803679291</v>
      </c>
      <c r="G29" s="161">
        <v>-0.0027796369070791816</v>
      </c>
    </row>
    <row r="30" spans="1:7" ht="13.5" thickTop="1">
      <c r="A30" s="141" t="s">
        <v>118</v>
      </c>
      <c r="B30" s="136">
        <v>0.2559562138916918</v>
      </c>
      <c r="C30" s="125">
        <v>0.28526265171457765</v>
      </c>
      <c r="D30" s="125">
        <v>0.3136876218730006</v>
      </c>
      <c r="E30" s="125">
        <v>0.40709546312536005</v>
      </c>
      <c r="F30" s="121">
        <v>0.4560941905213602</v>
      </c>
      <c r="G30" s="162" t="s">
        <v>129</v>
      </c>
    </row>
    <row r="31" spans="1:7" ht="13.5" thickBot="1">
      <c r="A31" s="142" t="s">
        <v>119</v>
      </c>
      <c r="B31" s="131">
        <v>20.770264</v>
      </c>
      <c r="C31" s="122">
        <v>20.669556</v>
      </c>
      <c r="D31" s="122">
        <v>20.565796</v>
      </c>
      <c r="E31" s="122">
        <v>20.486451</v>
      </c>
      <c r="F31" s="123">
        <v>20.483399</v>
      </c>
      <c r="G31" s="164">
        <v>-209.39</v>
      </c>
    </row>
    <row r="32" spans="1:7" ht="15.75" thickBot="1" thickTop="1">
      <c r="A32" s="143" t="s">
        <v>120</v>
      </c>
      <c r="B32" s="137">
        <v>-0.3695000112056732</v>
      </c>
      <c r="C32" s="126">
        <v>0.3935000002384186</v>
      </c>
      <c r="D32" s="126">
        <v>-0.3774999976158142</v>
      </c>
      <c r="E32" s="126">
        <v>0.45900000631809235</v>
      </c>
      <c r="F32" s="124">
        <v>-0.34700000286102295</v>
      </c>
      <c r="G32" s="129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4.16015625" style="165" bestFit="1" customWidth="1"/>
    <col min="2" max="3" width="14.83203125" style="165" bestFit="1" customWidth="1"/>
    <col min="4" max="4" width="16" style="165" bestFit="1" customWidth="1"/>
    <col min="5" max="5" width="22.16015625" style="165" bestFit="1" customWidth="1"/>
    <col min="6" max="6" width="14.83203125" style="165" bestFit="1" customWidth="1"/>
    <col min="7" max="7" width="15.33203125" style="165" bestFit="1" customWidth="1"/>
    <col min="8" max="8" width="14.16015625" style="165" bestFit="1" customWidth="1"/>
    <col min="9" max="9" width="14.83203125" style="165" bestFit="1" customWidth="1"/>
    <col min="10" max="10" width="8.16015625" style="165" bestFit="1" customWidth="1"/>
    <col min="11" max="11" width="15" style="165" bestFit="1" customWidth="1"/>
    <col min="12" max="16384" width="10.66015625" style="165" customWidth="1"/>
  </cols>
  <sheetData>
    <row r="1" spans="1:5" ht="12.75">
      <c r="A1" s="165" t="s">
        <v>130</v>
      </c>
      <c r="B1" s="165" t="s">
        <v>131</v>
      </c>
      <c r="C1" s="165" t="s">
        <v>132</v>
      </c>
      <c r="D1" s="165" t="s">
        <v>133</v>
      </c>
      <c r="E1" s="165" t="s">
        <v>28</v>
      </c>
    </row>
    <row r="3" spans="1:7" ht="12.75">
      <c r="A3" s="165" t="s">
        <v>134</v>
      </c>
      <c r="B3" s="165" t="s">
        <v>85</v>
      </c>
      <c r="C3" s="165" t="s">
        <v>86</v>
      </c>
      <c r="D3" s="165" t="s">
        <v>87</v>
      </c>
      <c r="E3" s="165" t="s">
        <v>88</v>
      </c>
      <c r="F3" s="165" t="s">
        <v>89</v>
      </c>
      <c r="G3" s="165" t="s">
        <v>135</v>
      </c>
    </row>
    <row r="4" spans="1:7" ht="12.75">
      <c r="A4" s="165" t="s">
        <v>136</v>
      </c>
      <c r="B4" s="165">
        <f>0.00225*1.0033</f>
        <v>0.002257425</v>
      </c>
      <c r="C4" s="165">
        <f>0.003744*1.0033</f>
        <v>0.0037563552000000004</v>
      </c>
      <c r="D4" s="165">
        <f>0.003744*1.0033</f>
        <v>0.0037563552000000004</v>
      </c>
      <c r="E4" s="165">
        <f>0.003744*1.0033</f>
        <v>0.0037563552000000004</v>
      </c>
      <c r="F4" s="165">
        <f>0.002077*1.0033</f>
        <v>0.0020838541</v>
      </c>
      <c r="G4" s="165">
        <f>0.011668*1.0033</f>
        <v>0.0117065044</v>
      </c>
    </row>
    <row r="5" spans="1:7" ht="12.75">
      <c r="A5" s="165" t="s">
        <v>137</v>
      </c>
      <c r="B5" s="165">
        <v>1.72824</v>
      </c>
      <c r="C5" s="165">
        <v>1.21913</v>
      </c>
      <c r="D5" s="165">
        <v>0.010574</v>
      </c>
      <c r="E5" s="165">
        <v>-0.874381</v>
      </c>
      <c r="F5" s="165">
        <v>-2.538758</v>
      </c>
      <c r="G5" s="165">
        <v>5.865313</v>
      </c>
    </row>
    <row r="6" spans="1:7" ht="12.75">
      <c r="A6" s="165" t="s">
        <v>138</v>
      </c>
      <c r="B6" s="166">
        <v>98.97048</v>
      </c>
      <c r="C6" s="166">
        <v>25.24311</v>
      </c>
      <c r="D6" s="166">
        <v>-23.7799</v>
      </c>
      <c r="E6" s="166">
        <v>-35.09149</v>
      </c>
      <c r="F6" s="166">
        <v>-46.58299</v>
      </c>
      <c r="G6" s="166">
        <v>0.001598233</v>
      </c>
    </row>
    <row r="7" spans="1:7" ht="12.75">
      <c r="A7" s="165" t="s">
        <v>139</v>
      </c>
      <c r="B7" s="166">
        <v>10000</v>
      </c>
      <c r="C7" s="166">
        <v>10000</v>
      </c>
      <c r="D7" s="166">
        <v>10000</v>
      </c>
      <c r="E7" s="166">
        <v>10000</v>
      </c>
      <c r="F7" s="166">
        <v>10000</v>
      </c>
      <c r="G7" s="166">
        <v>10000</v>
      </c>
    </row>
    <row r="8" spans="1:7" ht="12.75">
      <c r="A8" s="165" t="s">
        <v>92</v>
      </c>
      <c r="B8" s="166">
        <v>-0.9416862</v>
      </c>
      <c r="C8" s="166">
        <v>-0.6522905</v>
      </c>
      <c r="D8" s="166">
        <v>-0.4080558</v>
      </c>
      <c r="E8" s="166">
        <v>-1.018648</v>
      </c>
      <c r="F8" s="166">
        <v>-0.6710456</v>
      </c>
      <c r="G8" s="166">
        <v>-0.726024</v>
      </c>
    </row>
    <row r="9" spans="1:7" ht="12.75">
      <c r="A9" s="165" t="s">
        <v>94</v>
      </c>
      <c r="B9" s="166">
        <v>-0.01718667</v>
      </c>
      <c r="C9" s="166">
        <v>0.4065186</v>
      </c>
      <c r="D9" s="166">
        <v>0.09742254</v>
      </c>
      <c r="E9" s="166">
        <v>-0.394336</v>
      </c>
      <c r="F9" s="166">
        <v>-1.173835</v>
      </c>
      <c r="G9" s="166">
        <v>-0.1328296</v>
      </c>
    </row>
    <row r="10" spans="1:7" ht="12.75">
      <c r="A10" s="165" t="s">
        <v>96</v>
      </c>
      <c r="B10" s="166">
        <v>0.3354104</v>
      </c>
      <c r="C10" s="166">
        <v>-0.04203266</v>
      </c>
      <c r="D10" s="166">
        <v>-0.2321543</v>
      </c>
      <c r="E10" s="166">
        <v>0.03126699</v>
      </c>
      <c r="F10" s="166">
        <v>-1.467814</v>
      </c>
      <c r="G10" s="166">
        <v>-0.2058358</v>
      </c>
    </row>
    <row r="11" spans="1:7" ht="12.75">
      <c r="A11" s="165" t="s">
        <v>98</v>
      </c>
      <c r="B11" s="166">
        <v>3.719322</v>
      </c>
      <c r="C11" s="166">
        <v>3.619101</v>
      </c>
      <c r="D11" s="166">
        <v>3.754993</v>
      </c>
      <c r="E11" s="166">
        <v>3.517458</v>
      </c>
      <c r="F11" s="166">
        <v>14.22581</v>
      </c>
      <c r="G11" s="166">
        <v>5.057464</v>
      </c>
    </row>
    <row r="12" spans="1:7" ht="12.75">
      <c r="A12" s="165" t="s">
        <v>100</v>
      </c>
      <c r="B12" s="166">
        <v>0.06378963</v>
      </c>
      <c r="C12" s="166">
        <v>0.08229334</v>
      </c>
      <c r="D12" s="166">
        <v>0.05551896</v>
      </c>
      <c r="E12" s="166">
        <v>0.2022277</v>
      </c>
      <c r="F12" s="166">
        <v>-0.2319229</v>
      </c>
      <c r="G12" s="166">
        <v>0.06009847</v>
      </c>
    </row>
    <row r="13" spans="1:7" ht="12.75">
      <c r="A13" s="165" t="s">
        <v>102</v>
      </c>
      <c r="B13" s="166">
        <v>0.1593068</v>
      </c>
      <c r="C13" s="166">
        <v>0.03111285</v>
      </c>
      <c r="D13" s="166">
        <v>0.1113819</v>
      </c>
      <c r="E13" s="166">
        <v>-0.0811767</v>
      </c>
      <c r="F13" s="166">
        <v>-0.1378941</v>
      </c>
      <c r="G13" s="166">
        <v>0.01938338</v>
      </c>
    </row>
    <row r="14" spans="1:7" ht="12.75">
      <c r="A14" s="165" t="s">
        <v>104</v>
      </c>
      <c r="B14" s="166">
        <v>-0.04740734</v>
      </c>
      <c r="C14" s="166">
        <v>0.007863343</v>
      </c>
      <c r="D14" s="166">
        <v>-0.003476207</v>
      </c>
      <c r="E14" s="166">
        <v>0.03829067</v>
      </c>
      <c r="F14" s="166">
        <v>0.0417014</v>
      </c>
      <c r="G14" s="166">
        <v>0.008982974</v>
      </c>
    </row>
    <row r="15" spans="1:7" ht="12.75">
      <c r="A15" s="165" t="s">
        <v>106</v>
      </c>
      <c r="B15" s="166">
        <v>-0.2891417</v>
      </c>
      <c r="C15" s="166">
        <v>-0.04257648</v>
      </c>
      <c r="D15" s="166">
        <v>-0.006031692</v>
      </c>
      <c r="E15" s="166">
        <v>-0.009875245</v>
      </c>
      <c r="F15" s="166">
        <v>-0.2976268</v>
      </c>
      <c r="G15" s="166">
        <v>-0.09561247</v>
      </c>
    </row>
    <row r="16" spans="1:7" ht="12.75">
      <c r="A16" s="165" t="s">
        <v>108</v>
      </c>
      <c r="B16" s="166">
        <v>-0.003068944</v>
      </c>
      <c r="C16" s="166">
        <v>0.02204681</v>
      </c>
      <c r="D16" s="166">
        <v>0.02809058</v>
      </c>
      <c r="E16" s="166">
        <v>0.009489328</v>
      </c>
      <c r="F16" s="166">
        <v>-0.02340928</v>
      </c>
      <c r="G16" s="166">
        <v>0.01077962</v>
      </c>
    </row>
    <row r="17" spans="1:7" ht="12.75">
      <c r="A17" s="165" t="s">
        <v>110</v>
      </c>
      <c r="B17" s="166">
        <v>-0.01714454</v>
      </c>
      <c r="C17" s="166">
        <v>-0.01394956</v>
      </c>
      <c r="D17" s="166">
        <v>-0.01744515</v>
      </c>
      <c r="E17" s="166">
        <v>-0.00910277</v>
      </c>
      <c r="F17" s="166">
        <v>-0.01561868</v>
      </c>
      <c r="G17" s="166">
        <v>-0.01430849</v>
      </c>
    </row>
    <row r="18" spans="1:7" ht="12.75">
      <c r="A18" s="165" t="s">
        <v>112</v>
      </c>
      <c r="B18" s="166">
        <v>-0.0005907502</v>
      </c>
      <c r="C18" s="166">
        <v>0.01963721</v>
      </c>
      <c r="D18" s="166">
        <v>0.03152822</v>
      </c>
      <c r="E18" s="166">
        <v>0.03383273</v>
      </c>
      <c r="F18" s="166">
        <v>0.01495118</v>
      </c>
      <c r="G18" s="166">
        <v>0.02236205</v>
      </c>
    </row>
    <row r="19" spans="1:7" ht="12.75">
      <c r="A19" s="165" t="s">
        <v>114</v>
      </c>
      <c r="B19" s="166">
        <v>-0.1950431</v>
      </c>
      <c r="C19" s="166">
        <v>-0.1782069</v>
      </c>
      <c r="D19" s="166">
        <v>-0.1835493</v>
      </c>
      <c r="E19" s="166">
        <v>-0.1805411</v>
      </c>
      <c r="F19" s="166">
        <v>-0.1362199</v>
      </c>
      <c r="G19" s="166">
        <v>-0.1768857</v>
      </c>
    </row>
    <row r="20" spans="1:7" ht="12.75">
      <c r="A20" s="165" t="s">
        <v>116</v>
      </c>
      <c r="B20" s="166">
        <v>-0.001720024</v>
      </c>
      <c r="C20" s="166">
        <v>0.0004936621</v>
      </c>
      <c r="D20" s="166">
        <v>0.003503123</v>
      </c>
      <c r="E20" s="166">
        <v>-0.001890111</v>
      </c>
      <c r="F20" s="166">
        <v>0.00196888</v>
      </c>
      <c r="G20" s="166">
        <v>0.0005210552</v>
      </c>
    </row>
    <row r="21" spans="1:7" ht="12.75">
      <c r="A21" s="165" t="s">
        <v>140</v>
      </c>
      <c r="B21" s="166">
        <v>-4.826163</v>
      </c>
      <c r="C21" s="166">
        <v>36.66118</v>
      </c>
      <c r="D21" s="166">
        <v>89.8229</v>
      </c>
      <c r="E21" s="166">
        <v>-52.01038</v>
      </c>
      <c r="F21" s="166">
        <v>-129.0217</v>
      </c>
      <c r="G21" s="166">
        <v>0.0008405027</v>
      </c>
    </row>
    <row r="22" spans="1:7" ht="12.75">
      <c r="A22" s="165" t="s">
        <v>141</v>
      </c>
      <c r="B22" s="166">
        <v>34.56493</v>
      </c>
      <c r="C22" s="166">
        <v>24.38266</v>
      </c>
      <c r="D22" s="166">
        <v>0.2114897</v>
      </c>
      <c r="E22" s="166">
        <v>-17.48764</v>
      </c>
      <c r="F22" s="166">
        <v>-50.7756</v>
      </c>
      <c r="G22" s="166">
        <v>0</v>
      </c>
    </row>
    <row r="23" spans="1:7" ht="12.75">
      <c r="A23" s="165" t="s">
        <v>142</v>
      </c>
      <c r="B23" s="166">
        <v>-0.05435266</v>
      </c>
      <c r="C23" s="166">
        <v>-2.680569</v>
      </c>
      <c r="D23" s="166">
        <v>-3.060086</v>
      </c>
      <c r="E23" s="166">
        <v>-3.218587</v>
      </c>
      <c r="F23" s="166">
        <v>3.258537</v>
      </c>
      <c r="G23" s="166">
        <v>-1.728936</v>
      </c>
    </row>
    <row r="24" spans="1:7" ht="12.75">
      <c r="A24" s="165" t="s">
        <v>143</v>
      </c>
      <c r="B24" s="166">
        <v>2.687725</v>
      </c>
      <c r="C24" s="166">
        <v>3.931822</v>
      </c>
      <c r="D24" s="166">
        <v>2.437119</v>
      </c>
      <c r="E24" s="166">
        <v>1.276154</v>
      </c>
      <c r="F24" s="166">
        <v>3.91163</v>
      </c>
      <c r="G24" s="166">
        <v>2.750425</v>
      </c>
    </row>
    <row r="25" spans="1:7" ht="12.75">
      <c r="A25" s="165" t="s">
        <v>97</v>
      </c>
      <c r="B25" s="166">
        <v>-0.03332855</v>
      </c>
      <c r="C25" s="166">
        <v>-0.9914017</v>
      </c>
      <c r="D25" s="166">
        <v>-0.9849957</v>
      </c>
      <c r="E25" s="166">
        <v>-0.9353045</v>
      </c>
      <c r="F25" s="166">
        <v>-2.309316</v>
      </c>
      <c r="G25" s="166">
        <v>-1.013715</v>
      </c>
    </row>
    <row r="26" spans="1:7" ht="12.75">
      <c r="A26" s="165" t="s">
        <v>99</v>
      </c>
      <c r="B26" s="166">
        <v>0.2020981</v>
      </c>
      <c r="C26" s="166">
        <v>0.0508456</v>
      </c>
      <c r="D26" s="166">
        <v>0.3983358</v>
      </c>
      <c r="E26" s="166">
        <v>0.168438</v>
      </c>
      <c r="F26" s="166">
        <v>1.125648</v>
      </c>
      <c r="G26" s="166">
        <v>0.3281892</v>
      </c>
    </row>
    <row r="27" spans="1:7" ht="12.75">
      <c r="A27" s="165" t="s">
        <v>101</v>
      </c>
      <c r="B27" s="166">
        <v>0.1648699</v>
      </c>
      <c r="C27" s="166">
        <v>0.2236049</v>
      </c>
      <c r="D27" s="166">
        <v>0.1512937</v>
      </c>
      <c r="E27" s="166">
        <v>0.02414828</v>
      </c>
      <c r="F27" s="166">
        <v>0.0337518</v>
      </c>
      <c r="G27" s="166">
        <v>0.1243715</v>
      </c>
    </row>
    <row r="28" spans="1:7" ht="12.75">
      <c r="A28" s="165" t="s">
        <v>103</v>
      </c>
      <c r="B28" s="166">
        <v>0.1260239</v>
      </c>
      <c r="C28" s="166">
        <v>0.3233044</v>
      </c>
      <c r="D28" s="166">
        <v>-0.09088177</v>
      </c>
      <c r="E28" s="166">
        <v>-0.1569531</v>
      </c>
      <c r="F28" s="166">
        <v>0.1779084</v>
      </c>
      <c r="G28" s="166">
        <v>0.0601249</v>
      </c>
    </row>
    <row r="29" spans="1:7" ht="12.75">
      <c r="A29" s="165" t="s">
        <v>105</v>
      </c>
      <c r="B29" s="166">
        <v>-0.01989405</v>
      </c>
      <c r="C29" s="166">
        <v>-0.05378182</v>
      </c>
      <c r="D29" s="166">
        <v>-0.04691375</v>
      </c>
      <c r="E29" s="166">
        <v>-0.1067716</v>
      </c>
      <c r="F29" s="166">
        <v>-0.05260034</v>
      </c>
      <c r="G29" s="166">
        <v>-0.05982349</v>
      </c>
    </row>
    <row r="30" spans="1:7" ht="12.75">
      <c r="A30" s="165" t="s">
        <v>107</v>
      </c>
      <c r="B30" s="166">
        <v>0.1069</v>
      </c>
      <c r="C30" s="166">
        <v>0.05914963</v>
      </c>
      <c r="D30" s="166">
        <v>0.0979735</v>
      </c>
      <c r="E30" s="166">
        <v>0.05713539</v>
      </c>
      <c r="F30" s="166">
        <v>0.2917092</v>
      </c>
      <c r="G30" s="166">
        <v>0.1059477</v>
      </c>
    </row>
    <row r="31" spans="1:7" ht="12.75">
      <c r="A31" s="165" t="s">
        <v>109</v>
      </c>
      <c r="B31" s="166">
        <v>0.01267771</v>
      </c>
      <c r="C31" s="166">
        <v>0.01431715</v>
      </c>
      <c r="D31" s="166">
        <v>0.03251727</v>
      </c>
      <c r="E31" s="166">
        <v>-0.003727194</v>
      </c>
      <c r="F31" s="166">
        <v>0.01483682</v>
      </c>
      <c r="G31" s="166">
        <v>0.01418669</v>
      </c>
    </row>
    <row r="32" spans="1:7" ht="12.75">
      <c r="A32" s="165" t="s">
        <v>111</v>
      </c>
      <c r="B32" s="166">
        <v>-0.005993986</v>
      </c>
      <c r="C32" s="166">
        <v>0.01463207</v>
      </c>
      <c r="D32" s="166">
        <v>-0.03567733</v>
      </c>
      <c r="E32" s="166">
        <v>-0.03557479</v>
      </c>
      <c r="F32" s="166">
        <v>0.008864674</v>
      </c>
      <c r="G32" s="166">
        <v>-0.01330989</v>
      </c>
    </row>
    <row r="33" spans="1:7" ht="12.75">
      <c r="A33" s="165" t="s">
        <v>113</v>
      </c>
      <c r="B33" s="166">
        <v>0.05985347</v>
      </c>
      <c r="C33" s="166">
        <v>0.04741415</v>
      </c>
      <c r="D33" s="166">
        <v>0.03945576</v>
      </c>
      <c r="E33" s="166">
        <v>0.06277986</v>
      </c>
      <c r="F33" s="166">
        <v>0.04478171</v>
      </c>
      <c r="G33" s="166">
        <v>0.0506456</v>
      </c>
    </row>
    <row r="34" spans="1:7" ht="12.75">
      <c r="A34" s="165" t="s">
        <v>115</v>
      </c>
      <c r="B34" s="166">
        <v>0.01385903</v>
      </c>
      <c r="C34" s="166">
        <v>0.01480661</v>
      </c>
      <c r="D34" s="166">
        <v>0.02203657</v>
      </c>
      <c r="E34" s="166">
        <v>0.0213756</v>
      </c>
      <c r="F34" s="166">
        <v>-0.01274008</v>
      </c>
      <c r="G34" s="166">
        <v>0.01430514</v>
      </c>
    </row>
    <row r="35" spans="1:7" ht="12.75">
      <c r="A35" s="165" t="s">
        <v>117</v>
      </c>
      <c r="B35" s="166">
        <v>-0.002665591</v>
      </c>
      <c r="C35" s="166">
        <v>-0.006212222</v>
      </c>
      <c r="D35" s="166">
        <v>-0.005094566</v>
      </c>
      <c r="E35" s="166">
        <v>-0.003095256</v>
      </c>
      <c r="F35" s="166">
        <v>0.007966461</v>
      </c>
      <c r="G35" s="166">
        <v>-0.002787861</v>
      </c>
    </row>
    <row r="36" spans="1:6" ht="12.75">
      <c r="A36" s="165" t="s">
        <v>144</v>
      </c>
      <c r="B36" s="166">
        <v>20.4834</v>
      </c>
      <c r="C36" s="166">
        <v>20.48645</v>
      </c>
      <c r="D36" s="166">
        <v>20.49866</v>
      </c>
      <c r="E36" s="166">
        <v>20.50781</v>
      </c>
      <c r="F36" s="166">
        <v>20.52918</v>
      </c>
    </row>
    <row r="37" spans="1:6" ht="12.75">
      <c r="A37" s="165" t="s">
        <v>145</v>
      </c>
      <c r="B37" s="166">
        <v>-0.3575643</v>
      </c>
      <c r="C37" s="166">
        <v>-0.3463745</v>
      </c>
      <c r="D37" s="166">
        <v>-0.3412883</v>
      </c>
      <c r="E37" s="166">
        <v>-0.3346761</v>
      </c>
      <c r="F37" s="166">
        <v>-0.3295899</v>
      </c>
    </row>
    <row r="38" spans="1:7" ht="12.75">
      <c r="A38" s="165" t="s">
        <v>146</v>
      </c>
      <c r="B38" s="166">
        <v>-0.0001682194</v>
      </c>
      <c r="C38" s="166">
        <v>-4.306499E-05</v>
      </c>
      <c r="D38" s="166">
        <v>4.042259E-05</v>
      </c>
      <c r="E38" s="166">
        <v>5.950073E-05</v>
      </c>
      <c r="F38" s="166">
        <v>7.807538E-05</v>
      </c>
      <c r="G38" s="166">
        <v>0.000224804</v>
      </c>
    </row>
    <row r="39" spans="1:7" ht="12.75">
      <c r="A39" s="165" t="s">
        <v>147</v>
      </c>
      <c r="B39" s="166">
        <v>0</v>
      </c>
      <c r="C39" s="166">
        <v>-6.221901E-05</v>
      </c>
      <c r="D39" s="166">
        <v>-0.0001526998</v>
      </c>
      <c r="E39" s="166">
        <v>8.852169E-05</v>
      </c>
      <c r="F39" s="166">
        <v>0.0002197333</v>
      </c>
      <c r="G39" s="166">
        <v>0.0005408907</v>
      </c>
    </row>
    <row r="40" spans="2:5" ht="12.75">
      <c r="B40" s="165" t="s">
        <v>148</v>
      </c>
      <c r="C40" s="165">
        <v>-0.003744</v>
      </c>
      <c r="D40" s="165" t="s">
        <v>149</v>
      </c>
      <c r="E40" s="165">
        <v>3.116283</v>
      </c>
    </row>
    <row r="42" ht="12.75">
      <c r="A42" s="165" t="s">
        <v>150</v>
      </c>
    </row>
    <row r="43" spans="1:6" ht="12.75">
      <c r="A43" s="165" t="s">
        <v>151</v>
      </c>
      <c r="B43" s="165">
        <v>10</v>
      </c>
      <c r="C43" s="165">
        <v>10</v>
      </c>
      <c r="D43" s="165">
        <v>10</v>
      </c>
      <c r="E43" s="165">
        <v>10</v>
      </c>
      <c r="F43" s="165">
        <v>10</v>
      </c>
    </row>
    <row r="44" spans="1:10" ht="12.75">
      <c r="A44" s="165" t="s">
        <v>152</v>
      </c>
      <c r="B44" s="165">
        <v>12.516</v>
      </c>
      <c r="C44" s="165">
        <v>12.515</v>
      </c>
      <c r="D44" s="165">
        <v>12.516</v>
      </c>
      <c r="E44" s="165">
        <v>12.516</v>
      </c>
      <c r="F44" s="165">
        <v>12.516</v>
      </c>
      <c r="J44" s="165">
        <v>12.516</v>
      </c>
    </row>
    <row r="50" spans="1:7" ht="12.75">
      <c r="A50" s="165" t="s">
        <v>153</v>
      </c>
      <c r="B50" s="165">
        <f>-0.017/(B7*B7+B22*B22)*(B21*B22+B6*B7)</f>
        <v>-0.00016821944750675203</v>
      </c>
      <c r="C50" s="165">
        <f>-0.017/(C7*C7+C22*C22)*(C21*C22+C6*C7)</f>
        <v>-4.306499347735147E-05</v>
      </c>
      <c r="D50" s="165">
        <f>-0.017/(D7*D7+D22*D22)*(D21*D22+D6*D7)</f>
        <v>4.0422600556830225E-05</v>
      </c>
      <c r="E50" s="165">
        <f>-0.017/(E7*E7+E22*E22)*(E21*E22+E6*E7)</f>
        <v>5.950072944003581E-05</v>
      </c>
      <c r="F50" s="165">
        <f>-0.017/(F7*F7+F22*F22)*(F21*F22+F6*F7)</f>
        <v>7.807537387153825E-05</v>
      </c>
      <c r="G50" s="165">
        <f>(B50*B$4+C50*C$4+D50*D$4+E50*E$4+F50*F$4)/SUM(B$4:F$4)</f>
        <v>-2.219675705343884E-07</v>
      </c>
    </row>
    <row r="51" spans="1:7" ht="12.75">
      <c r="A51" s="165" t="s">
        <v>154</v>
      </c>
      <c r="B51" s="165">
        <f>-0.017/(B7*B7+B22*B22)*(B21*B7-B6*B22)</f>
        <v>8.785926442770957E-06</v>
      </c>
      <c r="C51" s="165">
        <f>-0.017/(C7*C7+C22*C22)*(C21*C7-C6*C22)</f>
        <v>-6.221900209061396E-05</v>
      </c>
      <c r="D51" s="165">
        <f>-0.017/(D7*D7+D22*D22)*(D21*D7-D6*D22)</f>
        <v>-0.0001526997848963665</v>
      </c>
      <c r="E51" s="165">
        <f>-0.017/(E7*E7+E22*E22)*(E21*E7-E6*E22)</f>
        <v>8.852169873361848E-05</v>
      </c>
      <c r="F51" s="165">
        <f>-0.017/(F7*F7+F22*F22)*(F21*F7-F6*F22)</f>
        <v>0.00021973332239535518</v>
      </c>
      <c r="G51" s="165">
        <f>(B51*B$4+C51*C$4+D51*D$4+E51*E$4+F51*F$4)/SUM(B$4:F$4)</f>
        <v>1.8791353498297245E-07</v>
      </c>
    </row>
    <row r="58" ht="12.75">
      <c r="A58" s="165" t="s">
        <v>156</v>
      </c>
    </row>
    <row r="60" spans="2:6" ht="12.75">
      <c r="B60" s="165" t="s">
        <v>85</v>
      </c>
      <c r="C60" s="165" t="s">
        <v>86</v>
      </c>
      <c r="D60" s="165" t="s">
        <v>87</v>
      </c>
      <c r="E60" s="165" t="s">
        <v>88</v>
      </c>
      <c r="F60" s="165" t="s">
        <v>89</v>
      </c>
    </row>
    <row r="61" spans="1:6" ht="12.75">
      <c r="A61" s="165" t="s">
        <v>158</v>
      </c>
      <c r="B61" s="165">
        <f>B6+(1/0.017)*(B7*B50-B22*B51)</f>
        <v>0</v>
      </c>
      <c r="C61" s="165">
        <f>C6+(1/0.017)*(C7*C50-C22*C51)</f>
        <v>0</v>
      </c>
      <c r="D61" s="165">
        <f>D6+(1/0.017)*(D7*D50-D22*D51)</f>
        <v>0</v>
      </c>
      <c r="E61" s="165">
        <f>E6+(1/0.017)*(E7*E50-E22*E51)</f>
        <v>0</v>
      </c>
      <c r="F61" s="165">
        <f>F6+(1/0.017)*(F7*F50-F22*F51)</f>
        <v>0</v>
      </c>
    </row>
    <row r="62" spans="1:6" ht="12.75">
      <c r="A62" s="165" t="s">
        <v>161</v>
      </c>
      <c r="B62" s="165">
        <f>B7+(2/0.017)*(B8*B50-B23*B51)</f>
        <v>10000.018692643618</v>
      </c>
      <c r="C62" s="165">
        <f>C7+(2/0.017)*(C8*C50-C23*C51)</f>
        <v>9999.983683359755</v>
      </c>
      <c r="D62" s="165">
        <f>D7+(2/0.017)*(D8*D50-D23*D51)</f>
        <v>9999.943085982286</v>
      </c>
      <c r="E62" s="165">
        <f>E7+(2/0.017)*(E8*E50-E23*E51)</f>
        <v>10000.026388763496</v>
      </c>
      <c r="F62" s="165">
        <f>F7+(2/0.017)*(F8*F50-F23*F51)</f>
        <v>9999.90959984738</v>
      </c>
    </row>
    <row r="63" spans="1:6" ht="12.75">
      <c r="A63" s="165" t="s">
        <v>162</v>
      </c>
      <c r="B63" s="165">
        <f>B8+(3/0.017)*(B9*B50-B24*B51)</f>
        <v>-0.9453432038852675</v>
      </c>
      <c r="C63" s="165">
        <f>C8+(3/0.017)*(C9*C50-C24*C51)</f>
        <v>-0.6122092081681471</v>
      </c>
      <c r="D63" s="165">
        <f>D8+(3/0.017)*(D9*D50-D24*D51)</f>
        <v>-0.34168774950238245</v>
      </c>
      <c r="E63" s="165">
        <f>E8+(3/0.017)*(E9*E50-E24*E51)</f>
        <v>-1.0427239881594415</v>
      </c>
      <c r="F63" s="165">
        <f>F8+(3/0.017)*(F9*F50-F24*F51)</f>
        <v>-0.8388979051240895</v>
      </c>
    </row>
    <row r="64" spans="1:6" ht="12.75">
      <c r="A64" s="165" t="s">
        <v>163</v>
      </c>
      <c r="B64" s="165">
        <f>B9+(4/0.017)*(B10*B50-B25*B51)</f>
        <v>-0.03039366529112341</v>
      </c>
      <c r="C64" s="165">
        <f>C9+(4/0.017)*(C10*C50-C25*C51)</f>
        <v>0.39243062630207</v>
      </c>
      <c r="D64" s="165">
        <f>D9+(4/0.017)*(D10*D50-D25*D51)</f>
        <v>0.05982420775287142</v>
      </c>
      <c r="E64" s="165">
        <f>E9+(4/0.017)*(E10*E50-E25*E51)</f>
        <v>-0.3744171407328019</v>
      </c>
      <c r="F64" s="165">
        <f>F9+(4/0.017)*(F10*F50-F25*F51)</f>
        <v>-1.0814035763960297</v>
      </c>
    </row>
    <row r="65" spans="1:6" ht="12.75">
      <c r="A65" s="165" t="s">
        <v>164</v>
      </c>
      <c r="B65" s="165">
        <f>B10+(5/0.017)*(B11*B50-B26*B51)</f>
        <v>0.1508698379469024</v>
      </c>
      <c r="C65" s="165">
        <f>C10+(5/0.017)*(C11*C50-C26*C51)</f>
        <v>-0.08694236543122873</v>
      </c>
      <c r="D65" s="165">
        <f>D10+(5/0.017)*(D11*D50-D26*D51)</f>
        <v>-0.1696212490855248</v>
      </c>
      <c r="E65" s="165">
        <f>E10+(5/0.017)*(E11*E50-E26*E51)</f>
        <v>0.0884378426127636</v>
      </c>
      <c r="F65" s="165">
        <f>F10+(5/0.017)*(F11*F50-F26*F51)</f>
        <v>-1.213889570738888</v>
      </c>
    </row>
    <row r="66" spans="1:6" ht="12.75">
      <c r="A66" s="165" t="s">
        <v>165</v>
      </c>
      <c r="B66" s="165">
        <f>B11+(6/0.017)*(B12*B50-B27*B51)</f>
        <v>3.7150234619543694</v>
      </c>
      <c r="C66" s="165">
        <f>C11+(6/0.017)*(C12*C50-C27*C51)</f>
        <v>3.622760474678909</v>
      </c>
      <c r="D66" s="165">
        <f>D11+(6/0.017)*(D12*D50-D27*D51)</f>
        <v>3.763938906890442</v>
      </c>
      <c r="E66" s="165">
        <f>E11+(6/0.017)*(E12*E50-E27*E51)</f>
        <v>3.520950370198548</v>
      </c>
      <c r="F66" s="165">
        <f>F11+(6/0.017)*(F12*F50-F27*F51)</f>
        <v>14.216801578019636</v>
      </c>
    </row>
    <row r="67" spans="1:6" ht="12.75">
      <c r="A67" s="165" t="s">
        <v>166</v>
      </c>
      <c r="B67" s="165">
        <f>B12+(7/0.017)*(B13*B50-B28*B51)</f>
        <v>0.052299031754794216</v>
      </c>
      <c r="C67" s="165">
        <f>C12+(7/0.017)*(C13*C50-C28*C51)</f>
        <v>0.09002455277649118</v>
      </c>
      <c r="D67" s="165">
        <f>D12+(7/0.017)*(D13*D50-D28*D51)</f>
        <v>0.051658550309454015</v>
      </c>
      <c r="E67" s="165">
        <f>E12+(7/0.017)*(E13*E50-E28*E51)</f>
        <v>0.20595980442292988</v>
      </c>
      <c r="F67" s="165">
        <f>F12+(7/0.017)*(F13*F50-F28*F51)</f>
        <v>-0.25245288591667925</v>
      </c>
    </row>
    <row r="68" spans="1:6" ht="12.75">
      <c r="A68" s="165" t="s">
        <v>167</v>
      </c>
      <c r="B68" s="165">
        <f>B13+(8/0.017)*(B14*B50-B29*B51)</f>
        <v>0.16314191727177108</v>
      </c>
      <c r="C68" s="165">
        <f>C13+(8/0.017)*(C14*C50-C29*C51)</f>
        <v>0.029378786006577787</v>
      </c>
      <c r="D68" s="165">
        <f>D13+(8/0.017)*(D14*D50-D29*D51)</f>
        <v>0.10794461206555493</v>
      </c>
      <c r="E68" s="165">
        <f>E13+(8/0.017)*(E14*E50-E29*E51)</f>
        <v>-0.07565673472740983</v>
      </c>
      <c r="F68" s="165">
        <f>F13+(8/0.017)*(F14*F50-F29*F51)</f>
        <v>-0.1309228530055097</v>
      </c>
    </row>
    <row r="69" spans="1:6" ht="12.75">
      <c r="A69" s="165" t="s">
        <v>168</v>
      </c>
      <c r="B69" s="165">
        <f>B14+(9/0.017)*(B15*B50-B30*B51)</f>
        <v>-0.022154376859066034</v>
      </c>
      <c r="C69" s="165">
        <f>C14+(9/0.017)*(C15*C50-C30*C51)</f>
        <v>0.010782406592650508</v>
      </c>
      <c r="D69" s="165">
        <f>D14+(9/0.017)*(D15*D50-D30*D51)</f>
        <v>0.0043149954289598245</v>
      </c>
      <c r="E69" s="165">
        <f>E14+(9/0.017)*(E15*E50-E30*E51)</f>
        <v>0.03530197855567284</v>
      </c>
      <c r="F69" s="165">
        <f>F14+(9/0.017)*(F15*F50-F30*F51)</f>
        <v>-0.0045350704918427145</v>
      </c>
    </row>
    <row r="70" spans="1:6" ht="12.75">
      <c r="A70" s="165" t="s">
        <v>169</v>
      </c>
      <c r="B70" s="165">
        <f>B15+(10/0.017)*(B16*B50-B31*B51)</f>
        <v>-0.28890354080200803</v>
      </c>
      <c r="C70" s="165">
        <f>C15+(10/0.017)*(C16*C50-C31*C51)</f>
        <v>-0.04261097820180281</v>
      </c>
      <c r="D70" s="165">
        <f>D15+(10/0.017)*(D16*D50-D31*D51)</f>
        <v>-0.0024429423357842615</v>
      </c>
      <c r="E70" s="165">
        <f>E15+(10/0.017)*(E16*E50-E31*E51)</f>
        <v>-0.009349033539832054</v>
      </c>
      <c r="F70" s="165">
        <f>F15+(10/0.017)*(F16*F50-F31*F51)</f>
        <v>-0.3006196423767326</v>
      </c>
    </row>
    <row r="71" spans="1:6" ht="12.75">
      <c r="A71" s="165" t="s">
        <v>170</v>
      </c>
      <c r="B71" s="165">
        <f>B16+(11/0.017)*(B17*B50-B32*B51)</f>
        <v>-0.001168721327460206</v>
      </c>
      <c r="C71" s="165">
        <f>C16+(11/0.017)*(C17*C50-C32*C51)</f>
        <v>0.023024600326332426</v>
      </c>
      <c r="D71" s="165">
        <f>D16+(11/0.017)*(D17*D50-D32*D51)</f>
        <v>0.02410916303443604</v>
      </c>
      <c r="E71" s="165">
        <f>E16+(11/0.017)*(E17*E50-E32*E51)</f>
        <v>0.011176546427507974</v>
      </c>
      <c r="F71" s="165">
        <f>F16+(11/0.017)*(F17*F50-F32*F51)</f>
        <v>-0.025458708473756943</v>
      </c>
    </row>
    <row r="72" spans="1:6" ht="12.75">
      <c r="A72" s="165" t="s">
        <v>171</v>
      </c>
      <c r="B72" s="165">
        <f>B17+(12/0.017)*(B18*B50-B33*B51)</f>
        <v>-0.017445593538239598</v>
      </c>
      <c r="C72" s="165">
        <f>C17+(12/0.017)*(C18*C50-C33*C51)</f>
        <v>-0.012464111921827316</v>
      </c>
      <c r="D72" s="165">
        <f>D17+(12/0.017)*(D18*D50-D33*D51)</f>
        <v>-0.012292675617705511</v>
      </c>
      <c r="E72" s="165">
        <f>E17+(12/0.017)*(E18*E50-E33*E51)</f>
        <v>-0.01160463428671362</v>
      </c>
      <c r="F72" s="165">
        <f>F17+(12/0.017)*(F18*F50-F33*F51)</f>
        <v>-0.021740596437076213</v>
      </c>
    </row>
    <row r="73" spans="1:6" ht="12.75">
      <c r="A73" s="165" t="s">
        <v>172</v>
      </c>
      <c r="B73" s="165">
        <f>B18+(13/0.017)*(B19*B50-B34*B51)</f>
        <v>0.024406168350007546</v>
      </c>
      <c r="C73" s="165">
        <f>C18+(13/0.017)*(C19*C50-C34*C51)</f>
        <v>0.026210416429448886</v>
      </c>
      <c r="D73" s="165">
        <f>D18+(13/0.017)*(D19*D50-D34*D51)</f>
        <v>0.02842767370659312</v>
      </c>
      <c r="E73" s="165">
        <f>E18+(13/0.017)*(E19*E50-E34*E51)</f>
        <v>0.02417102938966834</v>
      </c>
      <c r="F73" s="165">
        <f>F18+(13/0.017)*(F19*F50-F34*F51)</f>
        <v>0.008958945076565165</v>
      </c>
    </row>
    <row r="74" spans="1:6" ht="12.75">
      <c r="A74" s="165" t="s">
        <v>173</v>
      </c>
      <c r="B74" s="165">
        <f>B19+(14/0.017)*(B20*B50-B35*B51)</f>
        <v>-0.19478553197482162</v>
      </c>
      <c r="C74" s="165">
        <f>C19+(14/0.017)*(C20*C50-C35*C51)</f>
        <v>-0.17854271701894742</v>
      </c>
      <c r="D74" s="165">
        <f>D19+(14/0.017)*(D20*D50-D35*D51)</f>
        <v>-0.18407333959226696</v>
      </c>
      <c r="E74" s="165">
        <f>E19+(14/0.017)*(E20*E50-E35*E51)</f>
        <v>-0.18040807172336595</v>
      </c>
      <c r="F74" s="165">
        <f>F19+(14/0.017)*(F20*F50-F35*F51)</f>
        <v>-0.1375348919185981</v>
      </c>
    </row>
    <row r="75" spans="1:6" ht="12.75">
      <c r="A75" s="165" t="s">
        <v>174</v>
      </c>
      <c r="B75" s="166">
        <f>B20</f>
        <v>-0.001720024</v>
      </c>
      <c r="C75" s="166">
        <f>C20</f>
        <v>0.0004936621</v>
      </c>
      <c r="D75" s="166">
        <f>D20</f>
        <v>0.003503123</v>
      </c>
      <c r="E75" s="166">
        <f>E20</f>
        <v>-0.001890111</v>
      </c>
      <c r="F75" s="166">
        <f>F20</f>
        <v>0.00196888</v>
      </c>
    </row>
    <row r="78" ht="12.75">
      <c r="A78" s="165" t="s">
        <v>156</v>
      </c>
    </row>
    <row r="80" spans="2:6" ht="12.75">
      <c r="B80" s="165" t="s">
        <v>85</v>
      </c>
      <c r="C80" s="165" t="s">
        <v>86</v>
      </c>
      <c r="D80" s="165" t="s">
        <v>87</v>
      </c>
      <c r="E80" s="165" t="s">
        <v>88</v>
      </c>
      <c r="F80" s="165" t="s">
        <v>89</v>
      </c>
    </row>
    <row r="81" spans="1:6" ht="12.75">
      <c r="A81" s="165" t="s">
        <v>175</v>
      </c>
      <c r="B81" s="165">
        <f>B21+(1/0.017)*(B7*B51+B22*B50)</f>
        <v>0</v>
      </c>
      <c r="C81" s="165">
        <f>C21+(1/0.017)*(C7*C51+C22*C50)</f>
        <v>0</v>
      </c>
      <c r="D81" s="165">
        <f>D21+(1/0.017)*(D7*D51+D22*D50)</f>
        <v>0</v>
      </c>
      <c r="E81" s="165">
        <f>E21+(1/0.017)*(E7*E51+E22*E50)</f>
        <v>0</v>
      </c>
      <c r="F81" s="165">
        <f>F21+(1/0.017)*(F7*F51+F22*F50)</f>
        <v>0</v>
      </c>
    </row>
    <row r="82" spans="1:6" ht="12.75">
      <c r="A82" s="165" t="s">
        <v>176</v>
      </c>
      <c r="B82" s="165">
        <f>B22+(2/0.017)*(B8*B51+B23*B50)</f>
        <v>34.56503230455886</v>
      </c>
      <c r="C82" s="165">
        <f>C22+(2/0.017)*(C8*C51+C23*C50)</f>
        <v>24.40101571182162</v>
      </c>
      <c r="D82" s="165">
        <f>D22+(2/0.017)*(D8*D51+D23*D50)</f>
        <v>0.20426774692213723</v>
      </c>
      <c r="E82" s="165">
        <f>E22+(2/0.017)*(E8*E51+E23*E50)</f>
        <v>-17.520778908898567</v>
      </c>
      <c r="F82" s="165">
        <f>F22+(2/0.017)*(F8*F51+F23*F50)</f>
        <v>-50.763016421719705</v>
      </c>
    </row>
    <row r="83" spans="1:6" ht="12.75">
      <c r="A83" s="165" t="s">
        <v>177</v>
      </c>
      <c r="B83" s="165">
        <f>B23+(3/0.017)*(B9*B51+B24*B50)</f>
        <v>-0.13416653330032374</v>
      </c>
      <c r="C83" s="165">
        <f>C23+(3/0.017)*(C9*C51+C24*C50)</f>
        <v>-2.7149131888954203</v>
      </c>
      <c r="D83" s="165">
        <f>D23+(3/0.017)*(D9*D51+D24*D50)</f>
        <v>-3.0453263023039288</v>
      </c>
      <c r="E83" s="165">
        <f>E23+(3/0.017)*(E9*E51+E24*E50)</f>
        <v>-3.2113473291848234</v>
      </c>
      <c r="F83" s="165">
        <f>F23+(3/0.017)*(F9*F51+F24*F50)</f>
        <v>3.2669142900358543</v>
      </c>
    </row>
    <row r="84" spans="1:6" ht="12.75">
      <c r="A84" s="165" t="s">
        <v>178</v>
      </c>
      <c r="B84" s="165">
        <f>B24+(4/0.017)*(B10*B51+B25*B50)</f>
        <v>2.6897375650281745</v>
      </c>
      <c r="C84" s="165">
        <f>C24+(4/0.017)*(C10*C51+C25*C50)</f>
        <v>3.9424831618598466</v>
      </c>
      <c r="D84" s="165">
        <f>D24+(4/0.017)*(D10*D51+D25*D50)</f>
        <v>2.436091664456817</v>
      </c>
      <c r="E84" s="165">
        <f>E24+(4/0.017)*(E10*E51+E25*E50)</f>
        <v>1.263710825193068</v>
      </c>
      <c r="F84" s="165">
        <f>F24+(4/0.017)*(F10*F51+F25*F50)</f>
        <v>3.793317445419779</v>
      </c>
    </row>
    <row r="85" spans="1:6" ht="12.75">
      <c r="A85" s="165" t="s">
        <v>179</v>
      </c>
      <c r="B85" s="165">
        <f>B25+(5/0.017)*(B11*B51+B26*B50)</f>
        <v>-0.0337165327103484</v>
      </c>
      <c r="C85" s="165">
        <f>C25+(5/0.017)*(C11*C51+C26*C50)</f>
        <v>-1.058274205328675</v>
      </c>
      <c r="D85" s="165">
        <f>D25+(5/0.017)*(D11*D51+D26*D50)</f>
        <v>-1.1489030101342579</v>
      </c>
      <c r="E85" s="165">
        <f>E25+(5/0.017)*(E11*E51+E26*E50)</f>
        <v>-0.8407769878677714</v>
      </c>
      <c r="F85" s="165">
        <f>F25+(5/0.017)*(F11*F51+F26*F50)</f>
        <v>-1.3640895636727008</v>
      </c>
    </row>
    <row r="86" spans="1:6" ht="12.75">
      <c r="A86" s="165" t="s">
        <v>180</v>
      </c>
      <c r="B86" s="165">
        <f>B26+(6/0.017)*(B12*B51+B27*B50)</f>
        <v>0.19250732147358757</v>
      </c>
      <c r="C86" s="165">
        <f>C26+(6/0.017)*(C12*C51+C27*C50)</f>
        <v>0.045639804804644434</v>
      </c>
      <c r="D86" s="165">
        <f>D26+(6/0.017)*(D12*D51+D27*D50)</f>
        <v>0.39750213584195115</v>
      </c>
      <c r="E86" s="165">
        <f>E26+(6/0.017)*(E12*E51+E27*E50)</f>
        <v>0.17526331052107583</v>
      </c>
      <c r="F86" s="165">
        <f>F26+(6/0.017)*(F12*F51+F27*F50)</f>
        <v>1.1085917629578605</v>
      </c>
    </row>
    <row r="87" spans="1:6" ht="12.75">
      <c r="A87" s="165" t="s">
        <v>181</v>
      </c>
      <c r="B87" s="165">
        <f>B27+(7/0.017)*(B13*B51+B28*B50)</f>
        <v>0.15671695346893585</v>
      </c>
      <c r="C87" s="165">
        <f>C27+(7/0.017)*(C13*C51+C28*C50)</f>
        <v>0.21707475961795542</v>
      </c>
      <c r="D87" s="165">
        <f>D27+(7/0.017)*(D13*D51+D28*D50)</f>
        <v>0.14277771837613565</v>
      </c>
      <c r="E87" s="165">
        <f>E27+(7/0.017)*(E13*E51+E28*E50)</f>
        <v>0.01734398216257356</v>
      </c>
      <c r="F87" s="165">
        <f>F27+(7/0.017)*(F13*F51+F28*F50)</f>
        <v>0.026994879576011106</v>
      </c>
    </row>
    <row r="88" spans="1:6" ht="12.75">
      <c r="A88" s="165" t="s">
        <v>182</v>
      </c>
      <c r="B88" s="165">
        <f>B28+(8/0.017)*(B14*B51+B29*B50)</f>
        <v>0.127402746445922</v>
      </c>
      <c r="C88" s="165">
        <f>C28+(8/0.017)*(C14*C51+C29*C50)</f>
        <v>0.32416410088138536</v>
      </c>
      <c r="D88" s="165">
        <f>D28+(8/0.017)*(D14*D51+D29*D50)</f>
        <v>-0.09152438633680836</v>
      </c>
      <c r="E88" s="165">
        <f>E28+(8/0.017)*(E14*E51+E29*E50)</f>
        <v>-0.1583476566726736</v>
      </c>
      <c r="F88" s="165">
        <f>F28+(8/0.017)*(F14*F51+F29*F50)</f>
        <v>0.18028788045142005</v>
      </c>
    </row>
    <row r="89" spans="1:6" ht="12.75">
      <c r="A89" s="165" t="s">
        <v>183</v>
      </c>
      <c r="B89" s="165">
        <f>B29+(9/0.017)*(B15*B51+B30*B50)</f>
        <v>-0.030759187047993283</v>
      </c>
      <c r="C89" s="165">
        <f>C29+(9/0.017)*(C15*C51+C30*C50)</f>
        <v>-0.053727932411062405</v>
      </c>
      <c r="D89" s="165">
        <f>D29+(9/0.017)*(D15*D51+D30*D50)</f>
        <v>-0.044329489085909314</v>
      </c>
      <c r="E89" s="165">
        <f>E29+(9/0.017)*(E15*E51+E30*E50)</f>
        <v>-0.10543461086639574</v>
      </c>
      <c r="F89" s="165">
        <f>F29+(9/0.017)*(F15*F51+F30*F50)</f>
        <v>-0.07516557451265737</v>
      </c>
    </row>
    <row r="90" spans="1:6" ht="12.75">
      <c r="A90" s="165" t="s">
        <v>184</v>
      </c>
      <c r="B90" s="165">
        <f>B30+(10/0.017)*(B16*B51+B31*B50)</f>
        <v>0.10562964653641657</v>
      </c>
      <c r="C90" s="165">
        <f>C30+(10/0.017)*(C16*C51+C31*C50)</f>
        <v>0.057980042653620216</v>
      </c>
      <c r="D90" s="165">
        <f>D30+(10/0.017)*(D16*D51+D31*D50)</f>
        <v>0.09622350417223202</v>
      </c>
      <c r="E90" s="165">
        <f>E30+(10/0.017)*(E16*E51+E31*E50)</f>
        <v>0.05749906098390351</v>
      </c>
      <c r="F90" s="165">
        <f>F30+(10/0.017)*(F16*F51+F31*F50)</f>
        <v>0.2893648419995774</v>
      </c>
    </row>
    <row r="91" spans="1:6" ht="12.75">
      <c r="A91" s="165" t="s">
        <v>185</v>
      </c>
      <c r="B91" s="165">
        <f>B31+(11/0.017)*(B17*B51+B32*B50)</f>
        <v>0.01323267575326051</v>
      </c>
      <c r="C91" s="165">
        <f>C31+(11/0.017)*(C17*C51+C32*C50)</f>
        <v>0.014471019102389586</v>
      </c>
      <c r="D91" s="165">
        <f>D31+(11/0.017)*(D17*D51+D32*D50)</f>
        <v>0.033307781889562765</v>
      </c>
      <c r="E91" s="165">
        <f>E31+(11/0.017)*(E17*E51+E32*E50)</f>
        <v>-0.005618235458872507</v>
      </c>
      <c r="F91" s="165">
        <f>F31+(11/0.017)*(F17*F51+F32*F50)</f>
        <v>0.013063987716391978</v>
      </c>
    </row>
    <row r="92" spans="1:6" ht="12.75">
      <c r="A92" s="165" t="s">
        <v>186</v>
      </c>
      <c r="B92" s="165">
        <f>B32+(12/0.017)*(B18*B51+B33*B50)</f>
        <v>-0.013104838665340148</v>
      </c>
      <c r="C92" s="165">
        <f>C32+(12/0.017)*(C18*C51+C33*C50)</f>
        <v>0.012328283409039067</v>
      </c>
      <c r="D92" s="165">
        <f>D32+(12/0.017)*(D18*D51+D33*D50)</f>
        <v>-0.037949881519542934</v>
      </c>
      <c r="E92" s="165">
        <f>E32+(12/0.017)*(E18*E51+E33*E50)</f>
        <v>-0.030823934802442932</v>
      </c>
      <c r="F92" s="165">
        <f>F32+(12/0.017)*(F18*F51+F33*F50)</f>
        <v>0.01365170073363844</v>
      </c>
    </row>
    <row r="93" spans="1:6" ht="12.75">
      <c r="A93" s="165" t="s">
        <v>187</v>
      </c>
      <c r="B93" s="165">
        <f>B33+(13/0.017)*(B19*B51+B34*B50)</f>
        <v>0.056760240288732715</v>
      </c>
      <c r="C93" s="165">
        <f>C33+(13/0.017)*(C19*C51+C34*C50)</f>
        <v>0.05540548623339246</v>
      </c>
      <c r="D93" s="165">
        <f>D33+(13/0.017)*(D19*D51+D34*D50)</f>
        <v>0.06157007077824744</v>
      </c>
      <c r="E93" s="165">
        <f>E33+(13/0.017)*(E19*E51+E34*E50)</f>
        <v>0.05153108153392768</v>
      </c>
      <c r="F93" s="165">
        <f>F33+(13/0.017)*(F19*F51+F34*F50)</f>
        <v>0.02113185174925221</v>
      </c>
    </row>
    <row r="94" spans="1:6" ht="12.75">
      <c r="A94" s="165" t="s">
        <v>188</v>
      </c>
      <c r="B94" s="165">
        <f>B34+(14/0.017)*(B20*B51+B35*B50)</f>
        <v>0.014215858904316023</v>
      </c>
      <c r="C94" s="165">
        <f>C34+(14/0.017)*(C20*C51+C35*C50)</f>
        <v>0.015001633406675919</v>
      </c>
      <c r="D94" s="165">
        <f>D34+(14/0.017)*(D20*D51+D35*D50)</f>
        <v>0.021426448571181474</v>
      </c>
      <c r="E94" s="165">
        <f>E34+(14/0.017)*(E20*E51+E35*E50)</f>
        <v>0.021086141084208095</v>
      </c>
      <c r="F94" s="165">
        <f>F34+(14/0.017)*(F20*F51+F35*F50)</f>
        <v>-0.011871575205454052</v>
      </c>
    </row>
    <row r="95" spans="1:6" ht="12.75">
      <c r="A95" s="165" t="s">
        <v>189</v>
      </c>
      <c r="B95" s="166">
        <f>B35</f>
        <v>-0.002665591</v>
      </c>
      <c r="C95" s="166">
        <f>C35</f>
        <v>-0.006212222</v>
      </c>
      <c r="D95" s="166">
        <f>D35</f>
        <v>-0.005094566</v>
      </c>
      <c r="E95" s="166">
        <f>E35</f>
        <v>-0.003095256</v>
      </c>
      <c r="F95" s="166">
        <f>F35</f>
        <v>0.007966461</v>
      </c>
    </row>
    <row r="98" ht="12.75">
      <c r="A98" s="165" t="s">
        <v>157</v>
      </c>
    </row>
    <row r="100" spans="2:11" ht="12.75">
      <c r="B100" s="165" t="s">
        <v>85</v>
      </c>
      <c r="C100" s="165" t="s">
        <v>86</v>
      </c>
      <c r="D100" s="165" t="s">
        <v>87</v>
      </c>
      <c r="E100" s="165" t="s">
        <v>88</v>
      </c>
      <c r="F100" s="165" t="s">
        <v>89</v>
      </c>
      <c r="G100" s="165" t="s">
        <v>159</v>
      </c>
      <c r="H100" s="165" t="s">
        <v>160</v>
      </c>
      <c r="I100" s="165" t="s">
        <v>155</v>
      </c>
      <c r="K100" s="165" t="s">
        <v>190</v>
      </c>
    </row>
    <row r="101" spans="1:9" ht="12.75">
      <c r="A101" s="165" t="s">
        <v>158</v>
      </c>
      <c r="B101" s="165">
        <f>B61*10000/B62</f>
        <v>0</v>
      </c>
      <c r="C101" s="165">
        <f>C61*10000/C62</f>
        <v>0</v>
      </c>
      <c r="D101" s="165">
        <f>D61*10000/D62</f>
        <v>0</v>
      </c>
      <c r="E101" s="165">
        <f>E61*10000/E62</f>
        <v>0</v>
      </c>
      <c r="F101" s="165">
        <f>F61*10000/F62</f>
        <v>0</v>
      </c>
      <c r="G101" s="165">
        <f>AVERAGE(C101:E101)</f>
        <v>0</v>
      </c>
      <c r="H101" s="165">
        <f>STDEV(C101:E101)</f>
        <v>0</v>
      </c>
      <c r="I101" s="165">
        <f>(B101*B4+C101*C4+D101*D4+E101*E4+F101*F4)/SUM(B4:F4)</f>
        <v>0</v>
      </c>
    </row>
    <row r="102" spans="1:9" ht="12.75">
      <c r="A102" s="165" t="s">
        <v>161</v>
      </c>
      <c r="B102" s="165">
        <f>B62*10000/B62</f>
        <v>10000</v>
      </c>
      <c r="C102" s="165">
        <f>C62*10000/C62</f>
        <v>10000</v>
      </c>
      <c r="D102" s="165">
        <f>D62*10000/D62</f>
        <v>10000</v>
      </c>
      <c r="E102" s="165">
        <f>E62*10000/E62</f>
        <v>10000</v>
      </c>
      <c r="F102" s="165">
        <f>F62*10000/F62</f>
        <v>10000</v>
      </c>
      <c r="G102" s="165">
        <f>AVERAGE(C102:E102)</f>
        <v>10000</v>
      </c>
      <c r="H102" s="165">
        <f>STDEV(C102:E102)</f>
        <v>0</v>
      </c>
      <c r="I102" s="165">
        <f>(B102*B4+C102*C4+D102*D4+E102*E4+F102*F4)/SUM(B4:F4)</f>
        <v>9999.999999999998</v>
      </c>
    </row>
    <row r="103" spans="1:11" ht="12.75">
      <c r="A103" s="165" t="s">
        <v>162</v>
      </c>
      <c r="B103" s="165">
        <f>B63*10000/B62</f>
        <v>-0.94534143679221</v>
      </c>
      <c r="C103" s="165">
        <f>C63*10000/C62</f>
        <v>-0.6122102070895175</v>
      </c>
      <c r="D103" s="165">
        <f>D63*10000/D62</f>
        <v>-0.34168969419571327</v>
      </c>
      <c r="E103" s="165">
        <f>E63*10000/E62</f>
        <v>-1.042721236547031</v>
      </c>
      <c r="F103" s="165">
        <f>F63*10000/F62</f>
        <v>-0.8389054888425119</v>
      </c>
      <c r="G103" s="165">
        <f>AVERAGE(C103:E103)</f>
        <v>-0.6655403792774206</v>
      </c>
      <c r="H103" s="165">
        <f>STDEV(C103:E103)</f>
        <v>0.3535454515222341</v>
      </c>
      <c r="I103" s="165">
        <f>(B103*B4+C103*C4+D103*D4+E103*E4+F103*F4)/SUM(B4:F4)</f>
        <v>-0.7291454767756513</v>
      </c>
      <c r="K103" s="165">
        <f>(LN(H103)+LN(H123))/2-LN(K114*K115^3)</f>
        <v>-5.086181292397681</v>
      </c>
    </row>
    <row r="104" spans="1:11" ht="12.75">
      <c r="A104" s="165" t="s">
        <v>163</v>
      </c>
      <c r="B104" s="165">
        <f>B64*10000/B62</f>
        <v>-0.030393608477434254</v>
      </c>
      <c r="C104" s="165">
        <f>C64*10000/C62</f>
        <v>0.39243126661804983</v>
      </c>
      <c r="D104" s="165">
        <f>D64*10000/D62</f>
        <v>0.05982454823841125</v>
      </c>
      <c r="E104" s="165">
        <f>E64*10000/E62</f>
        <v>-0.37441615269487166</v>
      </c>
      <c r="F104" s="165">
        <f>F64*10000/F62</f>
        <v>-1.0814133523892397</v>
      </c>
      <c r="G104" s="165">
        <f>AVERAGE(C104:E104)</f>
        <v>0.025946554053863147</v>
      </c>
      <c r="H104" s="165">
        <f>STDEV(C104:E104)</f>
        <v>0.3845445747819076</v>
      </c>
      <c r="I104" s="165">
        <f>(B104*B4+C104*C4+D104*D4+E104*E4+F104*F4)/SUM(B4:F4)</f>
        <v>-0.1300243882546235</v>
      </c>
      <c r="K104" s="165">
        <f>(LN(H104)+LN(H124))/2-LN(K114*K115^4)</f>
        <v>-3.6176858837785635</v>
      </c>
    </row>
    <row r="105" spans="1:11" ht="12.75">
      <c r="A105" s="165" t="s">
        <v>164</v>
      </c>
      <c r="B105" s="165">
        <f>B65*10000/B62</f>
        <v>0.15086955593181822</v>
      </c>
      <c r="C105" s="165">
        <f>C65*10000/C62</f>
        <v>-0.08694250729219008</v>
      </c>
      <c r="D105" s="165">
        <f>D65*10000/D62</f>
        <v>-0.16962221447369671</v>
      </c>
      <c r="E105" s="165">
        <f>E65*10000/E62</f>
        <v>0.08843760923684818</v>
      </c>
      <c r="F105" s="165">
        <f>F65*10000/F62</f>
        <v>-1.213900544418336</v>
      </c>
      <c r="G105" s="165">
        <f>AVERAGE(C105:E105)</f>
        <v>-0.05604237084301287</v>
      </c>
      <c r="H105" s="165">
        <f>STDEV(C105:E105)</f>
        <v>0.13177568811359971</v>
      </c>
      <c r="I105" s="165">
        <f>(B105*B4+C105*C4+D105*D4+E105*E4+F105*F4)/SUM(B4:F4)</f>
        <v>-0.18068531648685734</v>
      </c>
      <c r="K105" s="165">
        <f>(LN(H105)+LN(H125))/2-LN(K114*K115^5)</f>
        <v>-4.630692534900932</v>
      </c>
    </row>
    <row r="106" spans="1:11" ht="12.75">
      <c r="A106" s="165" t="s">
        <v>165</v>
      </c>
      <c r="B106" s="165">
        <f>B66*10000/B62</f>
        <v>3.715016517606389</v>
      </c>
      <c r="C106" s="165">
        <f>C66*10000/C62</f>
        <v>3.62276638581649</v>
      </c>
      <c r="D106" s="165">
        <f>D66*10000/D62</f>
        <v>3.7639603291009265</v>
      </c>
      <c r="E106" s="165">
        <f>E66*10000/E62</f>
        <v>3.5209410788704067</v>
      </c>
      <c r="F106" s="165">
        <f>F66*10000/F62</f>
        <v>14.216930099284712</v>
      </c>
      <c r="G106" s="165">
        <f>AVERAGE(C106:E106)</f>
        <v>3.635889264595941</v>
      </c>
      <c r="H106" s="165">
        <f>STDEV(C106:E106)</f>
        <v>0.12203993795577182</v>
      </c>
      <c r="I106" s="165">
        <f>(B106*B4+C106*C4+D106*D4+E106*E4+F106*F4)/SUM(B4:F4)</f>
        <v>5.059814846762023</v>
      </c>
      <c r="K106" s="165">
        <f>(LN(H106)+LN(H126))/2-LN(K114*K115^6)</f>
        <v>-4.019435354025494</v>
      </c>
    </row>
    <row r="107" spans="1:11" ht="12.75">
      <c r="A107" s="165" t="s">
        <v>166</v>
      </c>
      <c r="B107" s="165">
        <f>B67*10000/B62</f>
        <v>0.052298933994260735</v>
      </c>
      <c r="C107" s="165">
        <f>C67*10000/C62</f>
        <v>0.09002469966655495</v>
      </c>
      <c r="D107" s="165">
        <f>D67*10000/D62</f>
        <v>0.05165884432069209</v>
      </c>
      <c r="E107" s="165">
        <f>E67*10000/E62</f>
        <v>0.20595926092190728</v>
      </c>
      <c r="F107" s="165">
        <f>F67*10000/F62</f>
        <v>-0.252455168115252</v>
      </c>
      <c r="G107" s="165">
        <f>AVERAGE(C107:E107)</f>
        <v>0.11588093496971812</v>
      </c>
      <c r="H107" s="165">
        <f>STDEV(C107:E107)</f>
        <v>0.0803340732122214</v>
      </c>
      <c r="I107" s="165">
        <f>(B107*B4+C107*C4+D107*D4+E107*E4+F107*F4)/SUM(B4:F4)</f>
        <v>0.05751641358002328</v>
      </c>
      <c r="K107" s="165">
        <f>(LN(H107)+LN(H127))/2-LN(K114*K115^7)</f>
        <v>-3.920640860811181</v>
      </c>
    </row>
    <row r="108" spans="1:9" ht="12.75">
      <c r="A108" s="165" t="s">
        <v>167</v>
      </c>
      <c r="B108" s="165">
        <f>B68*10000/B62</f>
        <v>0.16314161231696925</v>
      </c>
      <c r="C108" s="165">
        <f>C68*10000/C62</f>
        <v>0.029378833942964214</v>
      </c>
      <c r="D108" s="165">
        <f>D68*10000/D62</f>
        <v>0.10794522642520782</v>
      </c>
      <c r="E108" s="165">
        <f>E68*10000/E62</f>
        <v>-0.07565653507916872</v>
      </c>
      <c r="F108" s="165">
        <f>F68*10000/F62</f>
        <v>-0.13092403656079837</v>
      </c>
      <c r="G108" s="165">
        <f>AVERAGE(C108:E108)</f>
        <v>0.020555841763001098</v>
      </c>
      <c r="H108" s="165">
        <f>STDEV(C108:E108)</f>
        <v>0.09211832391079018</v>
      </c>
      <c r="I108" s="165">
        <f>(B108*B4+C108*C4+D108*D4+E108*E4+F108*F4)/SUM(B4:F4)</f>
        <v>0.020953957096113567</v>
      </c>
    </row>
    <row r="109" spans="1:9" ht="12.75">
      <c r="A109" s="165" t="s">
        <v>168</v>
      </c>
      <c r="B109" s="165">
        <f>B69*10000/B62</f>
        <v>-0.022154335446756324</v>
      </c>
      <c r="C109" s="165">
        <f>C69*10000/C62</f>
        <v>0.01078242418594415</v>
      </c>
      <c r="D109" s="165">
        <f>D69*10000/D62</f>
        <v>0.004315019987472225</v>
      </c>
      <c r="E109" s="165">
        <f>E69*10000/E62</f>
        <v>0.03530188539836236</v>
      </c>
      <c r="F109" s="165">
        <f>F69*10000/F62</f>
        <v>-0.004535111489319793</v>
      </c>
      <c r="G109" s="165">
        <f>AVERAGE(C109:E109)</f>
        <v>0.016799776523926245</v>
      </c>
      <c r="H109" s="165">
        <f>STDEV(C109:E109)</f>
        <v>0.016346340687374616</v>
      </c>
      <c r="I109" s="165">
        <f>(B109*B4+C109*C4+D109*D4+E109*E4+F109*F4)/SUM(B4:F4)</f>
        <v>0.008318555729688325</v>
      </c>
    </row>
    <row r="110" spans="1:11" ht="12.75">
      <c r="A110" s="165" t="s">
        <v>169</v>
      </c>
      <c r="B110" s="165">
        <f>B70*10000/B62</f>
        <v>-0.2889030007659247</v>
      </c>
      <c r="C110" s="165">
        <f>C70*10000/C62</f>
        <v>-0.04261104772871644</v>
      </c>
      <c r="D110" s="165">
        <f>D70*10000/D62</f>
        <v>-0.0024429562396297315</v>
      </c>
      <c r="E110" s="165">
        <f>E70*10000/E62</f>
        <v>-0.009349008868953658</v>
      </c>
      <c r="F110" s="165">
        <f>F70*10000/F62</f>
        <v>-0.3006223600074552</v>
      </c>
      <c r="G110" s="165">
        <f>AVERAGE(C110:E110)</f>
        <v>-0.018134337612433275</v>
      </c>
      <c r="H110" s="165">
        <f>STDEV(C110:E110)</f>
        <v>0.021476857179698498</v>
      </c>
      <c r="I110" s="165">
        <f>(B110*B4+C110*C4+D110*D4+E110*E4+F110*F4)/SUM(B4:F4)</f>
        <v>-0.09500027466557398</v>
      </c>
      <c r="K110" s="165">
        <f>EXP(AVERAGE(K103:K107))</f>
        <v>0.014194124250513024</v>
      </c>
    </row>
    <row r="111" spans="1:9" ht="12.75">
      <c r="A111" s="165" t="s">
        <v>170</v>
      </c>
      <c r="B111" s="165">
        <f>B71*10000/B62</f>
        <v>-0.0011687191428151635</v>
      </c>
      <c r="C111" s="165">
        <f>C71*10000/C62</f>
        <v>0.023024637894805758</v>
      </c>
      <c r="D111" s="165">
        <f>D71*10000/D62</f>
        <v>0.02410930025015019</v>
      </c>
      <c r="E111" s="165">
        <f>E71*10000/E62</f>
        <v>0.011176516934061766</v>
      </c>
      <c r="F111" s="165">
        <f>F71*10000/F62</f>
        <v>-0.025458938622950646</v>
      </c>
      <c r="G111" s="165">
        <f>AVERAGE(C111:E111)</f>
        <v>0.019436818359672575</v>
      </c>
      <c r="H111" s="165">
        <f>STDEV(C111:E111)</f>
        <v>0.00717415903348511</v>
      </c>
      <c r="I111" s="165">
        <f>(B111*B4+C111*C4+D111*D4+E111*E4+F111*F4)/SUM(B4:F4)</f>
        <v>0.010463815812368387</v>
      </c>
    </row>
    <row r="112" spans="1:9" ht="12.75">
      <c r="A112" s="165" t="s">
        <v>171</v>
      </c>
      <c r="B112" s="165">
        <f>B72*10000/B62</f>
        <v>-0.017445560927874283</v>
      </c>
      <c r="C112" s="165">
        <f>C72*10000/C62</f>
        <v>-0.012464132259103521</v>
      </c>
      <c r="D112" s="165">
        <f>D72*10000/D62</f>
        <v>-0.012292745580659485</v>
      </c>
      <c r="E112" s="165">
        <f>E72*10000/E62</f>
        <v>-0.011604603663599467</v>
      </c>
      <c r="F112" s="165">
        <f>F72*10000/F62</f>
        <v>-0.021740792974176505</v>
      </c>
      <c r="G112" s="165">
        <f>AVERAGE(C112:E112)</f>
        <v>-0.012120493834454156</v>
      </c>
      <c r="H112" s="165">
        <f>STDEV(C112:E112)</f>
        <v>0.000454917959279924</v>
      </c>
      <c r="I112" s="165">
        <f>(B112*B4+C112*C4+D112*D4+E112*E4+F112*F4)/SUM(B4:F4)</f>
        <v>-0.014174787958330924</v>
      </c>
    </row>
    <row r="113" spans="1:9" ht="12.75">
      <c r="A113" s="165" t="s">
        <v>172</v>
      </c>
      <c r="B113" s="165">
        <f>B73*10000/B62</f>
        <v>0.02440612272851212</v>
      </c>
      <c r="C113" s="165">
        <f>C73*10000/C62</f>
        <v>0.026210459196112222</v>
      </c>
      <c r="D113" s="165">
        <f>D73*10000/D62</f>
        <v>0.02842783550082645</v>
      </c>
      <c r="E113" s="165">
        <f>E73*10000/E62</f>
        <v>0.024170965605478857</v>
      </c>
      <c r="F113" s="165">
        <f>F73*10000/F62</f>
        <v>0.008959026066297537</v>
      </c>
      <c r="G113" s="165">
        <f>AVERAGE(C113:E113)</f>
        <v>0.026269753434139176</v>
      </c>
      <c r="H113" s="165">
        <f>STDEV(C113:E113)</f>
        <v>0.002129054292749854</v>
      </c>
      <c r="I113" s="165">
        <f>(B113*B4+C113*C4+D113*D4+E113*E4+F113*F4)/SUM(B4:F4)</f>
        <v>0.02368941087801938</v>
      </c>
    </row>
    <row r="114" spans="1:11" ht="12.75">
      <c r="A114" s="165" t="s">
        <v>173</v>
      </c>
      <c r="B114" s="165">
        <f>B74*10000/B62</f>
        <v>-0.19478516786984912</v>
      </c>
      <c r="C114" s="165">
        <f>C74*10000/C62</f>
        <v>-0.17854300834115094</v>
      </c>
      <c r="D114" s="165">
        <f>D74*10000/D62</f>
        <v>-0.18407438723356054</v>
      </c>
      <c r="E114" s="165">
        <f>E74*10000/E62</f>
        <v>-0.1804075956500285</v>
      </c>
      <c r="F114" s="165">
        <f>F74*10000/F62</f>
        <v>-0.1375361352473598</v>
      </c>
      <c r="G114" s="165">
        <f>AVERAGE(C114:E114)</f>
        <v>-0.18100833040824668</v>
      </c>
      <c r="H114" s="165">
        <f>STDEV(C114:E114)</f>
        <v>0.0028141961197015943</v>
      </c>
      <c r="I114" s="165">
        <f>(B114*B4+C114*C4+D114*D4+E114*E4+F114*F4)/SUM(B4:F4)</f>
        <v>-0.177197425783235</v>
      </c>
      <c r="J114" s="165" t="s">
        <v>191</v>
      </c>
      <c r="K114" s="165">
        <v>285</v>
      </c>
    </row>
    <row r="115" spans="1:11" ht="12.75">
      <c r="A115" s="165" t="s">
        <v>174</v>
      </c>
      <c r="B115" s="165">
        <f>B75*10000/B62</f>
        <v>-0.001720020784826445</v>
      </c>
      <c r="C115" s="165">
        <f>C75*10000/C62</f>
        <v>0.0004936629054920031</v>
      </c>
      <c r="D115" s="165">
        <f>D75*10000/D62</f>
        <v>0.003503142937793922</v>
      </c>
      <c r="E115" s="165">
        <f>E75*10000/E62</f>
        <v>-0.001890106012243946</v>
      </c>
      <c r="F115" s="165">
        <f>F75*10000/F62</f>
        <v>0.001968897798866151</v>
      </c>
      <c r="G115" s="165">
        <f>AVERAGE(C115:E115)</f>
        <v>0.0007022332770139928</v>
      </c>
      <c r="H115" s="165">
        <f>STDEV(C115:E115)</f>
        <v>0.002702667156565669</v>
      </c>
      <c r="I115" s="165">
        <f>(B115*B4+C115*C4+D115*D4+E115*E4+F115*F4)/SUM(B4:F4)</f>
        <v>0.0005210385069610299</v>
      </c>
      <c r="J115" s="165" t="s">
        <v>192</v>
      </c>
      <c r="K115" s="165">
        <v>0.5536</v>
      </c>
    </row>
    <row r="118" ht="12.75">
      <c r="A118" s="165" t="s">
        <v>157</v>
      </c>
    </row>
    <row r="120" spans="2:9" ht="12.75">
      <c r="B120" s="165" t="s">
        <v>85</v>
      </c>
      <c r="C120" s="165" t="s">
        <v>86</v>
      </c>
      <c r="D120" s="165" t="s">
        <v>87</v>
      </c>
      <c r="E120" s="165" t="s">
        <v>88</v>
      </c>
      <c r="F120" s="165" t="s">
        <v>89</v>
      </c>
      <c r="G120" s="165" t="s">
        <v>159</v>
      </c>
      <c r="H120" s="165" t="s">
        <v>160</v>
      </c>
      <c r="I120" s="165" t="s">
        <v>155</v>
      </c>
    </row>
    <row r="121" spans="1:9" ht="12.75">
      <c r="A121" s="165" t="s">
        <v>175</v>
      </c>
      <c r="B121" s="165">
        <f>B81*10000/B62</f>
        <v>0</v>
      </c>
      <c r="C121" s="165">
        <f>C81*10000/C62</f>
        <v>0</v>
      </c>
      <c r="D121" s="165">
        <f>D81*10000/D62</f>
        <v>0</v>
      </c>
      <c r="E121" s="165">
        <f>E81*10000/E62</f>
        <v>0</v>
      </c>
      <c r="F121" s="165">
        <f>F81*10000/F62</f>
        <v>0</v>
      </c>
      <c r="G121" s="165">
        <f>AVERAGE(C121:E121)</f>
        <v>0</v>
      </c>
      <c r="H121" s="165">
        <f>STDEV(C121:E121)</f>
        <v>0</v>
      </c>
      <c r="I121" s="165">
        <f>(B121*B4+C121*C4+D121*D4+E121*E4+F121*F4)/SUM(B4:F4)</f>
        <v>0</v>
      </c>
    </row>
    <row r="122" spans="1:9" ht="12.75">
      <c r="A122" s="165" t="s">
        <v>176</v>
      </c>
      <c r="B122" s="165">
        <f>B82*10000/B62</f>
        <v>34.564967693496584</v>
      </c>
      <c r="C122" s="165">
        <f>C82*10000/C62</f>
        <v>24.401055526146084</v>
      </c>
      <c r="D122" s="165">
        <f>D82*10000/D62</f>
        <v>0.2042689094985706</v>
      </c>
      <c r="E122" s="165">
        <f>E82*10000/E62</f>
        <v>-17.520732673851487</v>
      </c>
      <c r="F122" s="165">
        <f>F82*10000/F62</f>
        <v>-50.763475324311386</v>
      </c>
      <c r="G122" s="165">
        <f>AVERAGE(C122:E122)</f>
        <v>2.361530587264389</v>
      </c>
      <c r="H122" s="165">
        <f>STDEV(C122:E122)</f>
        <v>21.043987619534743</v>
      </c>
      <c r="I122" s="165">
        <f>(B122*B4+C122*C4+D122*D4+E122*E4+F122*F4)/SUM(B4:F4)</f>
        <v>-0.0732598098897001</v>
      </c>
    </row>
    <row r="123" spans="1:9" ht="12.75">
      <c r="A123" s="165" t="s">
        <v>177</v>
      </c>
      <c r="B123" s="165">
        <f>B83*10000/B62</f>
        <v>-0.1341662825080733</v>
      </c>
      <c r="C123" s="165">
        <f>C83*10000/C62</f>
        <v>-2.7149176187288284</v>
      </c>
      <c r="D123" s="165">
        <f>D83*10000/D62</f>
        <v>-3.045343634578085</v>
      </c>
      <c r="E123" s="165">
        <f>E83*10000/E62</f>
        <v>-3.2113388548586688</v>
      </c>
      <c r="F123" s="165">
        <f>F83*10000/F62</f>
        <v>3.2669438232578765</v>
      </c>
      <c r="G123" s="165">
        <f>AVERAGE(C123:E123)</f>
        <v>-2.9905333693885274</v>
      </c>
      <c r="H123" s="165">
        <f>STDEV(C123:E123)</f>
        <v>0.2527085966044357</v>
      </c>
      <c r="I123" s="165">
        <f>(B123*B4+C123*C4+D123*D4+E123*E4+F123*F4)/SUM(B4:F4)</f>
        <v>-1.7421494067554788</v>
      </c>
    </row>
    <row r="124" spans="1:9" ht="12.75">
      <c r="A124" s="165" t="s">
        <v>178</v>
      </c>
      <c r="B124" s="165">
        <f>B84*10000/B62</f>
        <v>2.689732537207</v>
      </c>
      <c r="C124" s="165">
        <f>C84*10000/C62</f>
        <v>3.9424895946782854</v>
      </c>
      <c r="D124" s="165">
        <f>D84*10000/D62</f>
        <v>2.4361055293121416</v>
      </c>
      <c r="E124" s="165">
        <f>E84*10000/E62</f>
        <v>1.2637074904252588</v>
      </c>
      <c r="F124" s="165">
        <f>F84*10000/F62</f>
        <v>3.7933517373773786</v>
      </c>
      <c r="G124" s="165">
        <f>AVERAGE(C124:E124)</f>
        <v>2.5474342048052288</v>
      </c>
      <c r="H124" s="165">
        <f>STDEV(C124:E124)</f>
        <v>1.3428566364310268</v>
      </c>
      <c r="I124" s="165">
        <f>(B124*B4+C124*C4+D124*D4+E124*E4+F124*F4)/SUM(B4:F4)</f>
        <v>2.7343319465017606</v>
      </c>
    </row>
    <row r="125" spans="1:9" ht="12.75">
      <c r="A125" s="165" t="s">
        <v>179</v>
      </c>
      <c r="B125" s="165">
        <f>B85*10000/B62</f>
        <v>-0.03371646968535321</v>
      </c>
      <c r="C125" s="165">
        <f>C85*10000/C62</f>
        <v>-1.0582759320794415</v>
      </c>
      <c r="D125" s="165">
        <f>D85*10000/D62</f>
        <v>-1.1489095490401005</v>
      </c>
      <c r="E125" s="165">
        <f>E85*10000/E62</f>
        <v>-0.8407747691671178</v>
      </c>
      <c r="F125" s="165">
        <f>F85*10000/F62</f>
        <v>-1.3641018951746522</v>
      </c>
      <c r="G125" s="165">
        <f>AVERAGE(C125:E125)</f>
        <v>-1.0159867500955533</v>
      </c>
      <c r="H125" s="165">
        <f>STDEV(C125:E125)</f>
        <v>0.15836048063356234</v>
      </c>
      <c r="I125" s="165">
        <f>(B125*B4+C125*C4+D125*D4+E125*E4+F125*F4)/SUM(B4:F4)</f>
        <v>-0.9204103650712161</v>
      </c>
    </row>
    <row r="126" spans="1:9" ht="12.75">
      <c r="A126" s="165" t="s">
        <v>180</v>
      </c>
      <c r="B126" s="165">
        <f>B86*10000/B62</f>
        <v>0.19250696162718478</v>
      </c>
      <c r="C126" s="165">
        <f>C86*10000/C62</f>
        <v>0.04563987927359353</v>
      </c>
      <c r="D126" s="165">
        <f>D86*10000/D62</f>
        <v>0.3975043981991872</v>
      </c>
      <c r="E126" s="165">
        <f>E86*10000/E62</f>
        <v>0.17526284802409123</v>
      </c>
      <c r="F126" s="165">
        <f>F86*10000/F62</f>
        <v>1.108601784734914</v>
      </c>
      <c r="G126" s="165">
        <f>AVERAGE(C126:E126)</f>
        <v>0.20613570849895732</v>
      </c>
      <c r="H126" s="165">
        <f>STDEV(C126:E126)</f>
        <v>0.17795226903613864</v>
      </c>
      <c r="I126" s="165">
        <f>(B126*B4+C126*C4+D126*D4+E126*E4+F126*F4)/SUM(B4:F4)</f>
        <v>0.32463672783699926</v>
      </c>
    </row>
    <row r="127" spans="1:9" ht="12.75">
      <c r="A127" s="165" t="s">
        <v>181</v>
      </c>
      <c r="B127" s="165">
        <f>B87*10000/B62</f>
        <v>0.15671666052406744</v>
      </c>
      <c r="C127" s="165">
        <f>C87*10000/C62</f>
        <v>0.21707511381160924</v>
      </c>
      <c r="D127" s="165">
        <f>D87*10000/D62</f>
        <v>0.14277853098611984</v>
      </c>
      <c r="E127" s="165">
        <f>E87*10000/E62</f>
        <v>0.01734393639407</v>
      </c>
      <c r="F127" s="165">
        <f>F87*10000/F62</f>
        <v>0.02699512361234056</v>
      </c>
      <c r="G127" s="165">
        <f>AVERAGE(C127:E127)</f>
        <v>0.12573252706393304</v>
      </c>
      <c r="H127" s="165">
        <f>STDEV(C127:E127)</f>
        <v>0.10095078253998596</v>
      </c>
      <c r="I127" s="165">
        <f>(B127*B4+C127*C4+D127*D4+E127*E4+F127*F4)/SUM(B4:F4)</f>
        <v>0.11703252791979427</v>
      </c>
    </row>
    <row r="128" spans="1:9" ht="12.75">
      <c r="A128" s="165" t="s">
        <v>182</v>
      </c>
      <c r="B128" s="165">
        <f>B88*10000/B62</f>
        <v>0.12740250829695363</v>
      </c>
      <c r="C128" s="165">
        <f>C88*10000/C62</f>
        <v>0.32416462980914984</v>
      </c>
      <c r="D128" s="165">
        <f>D88*10000/D62</f>
        <v>-0.09152490724182756</v>
      </c>
      <c r="E128" s="165">
        <f>E88*10000/E62</f>
        <v>-0.15834723881389007</v>
      </c>
      <c r="F128" s="165">
        <f>F88*10000/F62</f>
        <v>0.1802895102713445</v>
      </c>
      <c r="G128" s="165">
        <f>AVERAGE(C128:E128)</f>
        <v>0.024764161251144074</v>
      </c>
      <c r="H128" s="165">
        <f>STDEV(C128:E128)</f>
        <v>0.26143218323065487</v>
      </c>
      <c r="I128" s="165">
        <f>(B128*B4+C128*C4+D128*D4+E128*E4+F128*F4)/SUM(B4:F4)</f>
        <v>0.06036814806058092</v>
      </c>
    </row>
    <row r="129" spans="1:9" ht="12.75">
      <c r="A129" s="165" t="s">
        <v>183</v>
      </c>
      <c r="B129" s="165">
        <f>B89*10000/B62</f>
        <v>-0.030759129551048613</v>
      </c>
      <c r="C129" s="165">
        <f>C89*10000/C62</f>
        <v>-0.05372802007713988</v>
      </c>
      <c r="D129" s="165">
        <f>D89*10000/D62</f>
        <v>-0.044329741384277956</v>
      </c>
      <c r="E129" s="165">
        <f>E89*10000/E62</f>
        <v>-0.10543433263822892</v>
      </c>
      <c r="F129" s="165">
        <f>F89*10000/F62</f>
        <v>-0.07516625401674087</v>
      </c>
      <c r="G129" s="165">
        <f>AVERAGE(C129:E129)</f>
        <v>-0.06783069803321558</v>
      </c>
      <c r="H129" s="165">
        <f>STDEV(C129:E129)</f>
        <v>0.03290299245095638</v>
      </c>
      <c r="I129" s="165">
        <f>(B129*B4+C129*C4+D129*D4+E129*E4+F129*F4)/SUM(B4:F4)</f>
        <v>-0.06344898460001977</v>
      </c>
    </row>
    <row r="130" spans="1:9" ht="12.75">
      <c r="A130" s="165" t="s">
        <v>184</v>
      </c>
      <c r="B130" s="165">
        <f>B90*10000/B62</f>
        <v>0.10562944908705182</v>
      </c>
      <c r="C130" s="165">
        <f>C90*10000/C62</f>
        <v>0.057980137257724315</v>
      </c>
      <c r="D130" s="165">
        <f>D90*10000/D62</f>
        <v>0.09622405182197102</v>
      </c>
      <c r="E130" s="165">
        <f>E90*10000/E62</f>
        <v>0.057498909251391755</v>
      </c>
      <c r="F130" s="165">
        <f>F90*10000/F62</f>
        <v>0.28936745788581303</v>
      </c>
      <c r="G130" s="165">
        <f>AVERAGE(C130:E130)</f>
        <v>0.0705676994436957</v>
      </c>
      <c r="H130" s="165">
        <f>STDEV(C130:E130)</f>
        <v>0.02222035571536139</v>
      </c>
      <c r="I130" s="165">
        <f>(B130*B4+C130*C4+D130*D4+E130*E4+F130*F4)/SUM(B4:F4)</f>
        <v>0.10484599721230738</v>
      </c>
    </row>
    <row r="131" spans="1:9" ht="12.75">
      <c r="A131" s="165" t="s">
        <v>185</v>
      </c>
      <c r="B131" s="165">
        <f>B91*10000/B62</f>
        <v>0.01323265101793755</v>
      </c>
      <c r="C131" s="165">
        <f>C91*10000/C62</f>
        <v>0.014471042714269381</v>
      </c>
      <c r="D131" s="165">
        <f>D91*10000/D62</f>
        <v>0.03330797145861053</v>
      </c>
      <c r="E131" s="165">
        <f>E91*10000/E62</f>
        <v>-0.005618220633082952</v>
      </c>
      <c r="F131" s="165">
        <f>F91*10000/F62</f>
        <v>0.01306410581610794</v>
      </c>
      <c r="G131" s="165">
        <f>AVERAGE(C131:E131)</f>
        <v>0.014053597846598986</v>
      </c>
      <c r="H131" s="165">
        <f>STDEV(C131:E131)</f>
        <v>0.019466453268456824</v>
      </c>
      <c r="I131" s="165">
        <f>(B131*B4+C131*C4+D131*D4+E131*E4+F131*F4)/SUM(B4:F4)</f>
        <v>0.013802790898092132</v>
      </c>
    </row>
    <row r="132" spans="1:9" ht="12.75">
      <c r="A132" s="165" t="s">
        <v>186</v>
      </c>
      <c r="B132" s="165">
        <f>B92*10000/B62</f>
        <v>-0.013104814168978053</v>
      </c>
      <c r="C132" s="165">
        <f>C92*10000/C62</f>
        <v>0.012328303524688411</v>
      </c>
      <c r="D132" s="165">
        <f>D92*10000/D62</f>
        <v>-0.03795009750879512</v>
      </c>
      <c r="E132" s="165">
        <f>E92*10000/E62</f>
        <v>-0.03082385346210503</v>
      </c>
      <c r="F132" s="165">
        <f>F92*10000/F62</f>
        <v>0.013651824146337074</v>
      </c>
      <c r="G132" s="165">
        <f>AVERAGE(C132:E132)</f>
        <v>-0.01881521581540391</v>
      </c>
      <c r="H132" s="165">
        <f>STDEV(C132:E132)</f>
        <v>0.027205421081436598</v>
      </c>
      <c r="I132" s="165">
        <f>(B132*B4+C132*C4+D132*D4+E132*E4+F132*F4)/SUM(B4:F4)</f>
        <v>-0.013655343991700963</v>
      </c>
    </row>
    <row r="133" spans="1:9" ht="12.75">
      <c r="A133" s="165" t="s">
        <v>187</v>
      </c>
      <c r="B133" s="165">
        <f>B93*10000/B62</f>
        <v>0.0567601341890367</v>
      </c>
      <c r="C133" s="165">
        <f>C93*10000/C62</f>
        <v>0.05540557663667862</v>
      </c>
      <c r="D133" s="165">
        <f>D93*10000/D62</f>
        <v>0.061570421200251725</v>
      </c>
      <c r="E133" s="165">
        <f>E93*10000/E62</f>
        <v>0.0515309455501342</v>
      </c>
      <c r="F133" s="165">
        <f>F93*10000/F62</f>
        <v>0.021132042783241486</v>
      </c>
      <c r="G133" s="165">
        <f>AVERAGE(C133:E133)</f>
        <v>0.056168981129021515</v>
      </c>
      <c r="H133" s="165">
        <f>STDEV(C133:E133)</f>
        <v>0.005063087758129662</v>
      </c>
      <c r="I133" s="165">
        <f>(B133*B4+C133*C4+D133*D4+E133*E4+F133*F4)/SUM(B4:F4)</f>
        <v>0.05157732186048556</v>
      </c>
    </row>
    <row r="134" spans="1:9" ht="12.75">
      <c r="A134" s="165" t="s">
        <v>188</v>
      </c>
      <c r="B134" s="165">
        <f>B94*10000/B62</f>
        <v>0.014215832331167272</v>
      </c>
      <c r="C134" s="165">
        <f>C94*10000/C62</f>
        <v>0.015001657884341397</v>
      </c>
      <c r="D134" s="165">
        <f>D94*10000/D62</f>
        <v>0.02142657051840288</v>
      </c>
      <c r="E134" s="165">
        <f>E94*10000/E62</f>
        <v>0.02108608544063592</v>
      </c>
      <c r="F134" s="165">
        <f>F94*10000/F62</f>
        <v>-0.011871682525645268</v>
      </c>
      <c r="G134" s="165">
        <f>AVERAGE(C134:E134)</f>
        <v>0.0191714379477934</v>
      </c>
      <c r="H134" s="165">
        <f>STDEV(C134:E134)</f>
        <v>0.0036151461734232524</v>
      </c>
      <c r="I134" s="165">
        <f>(B134*B4+C134*C4+D134*D4+E134*E4+F134*F4)/SUM(B4:F4)</f>
        <v>0.01431079948383422</v>
      </c>
    </row>
    <row r="135" spans="1:9" ht="12.75">
      <c r="A135" s="165" t="s">
        <v>189</v>
      </c>
      <c r="B135" s="165">
        <f>B95*10000/B62</f>
        <v>-0.0026655860173150545</v>
      </c>
      <c r="C135" s="165">
        <f>C95*10000/C62</f>
        <v>-0.0062122321362756885</v>
      </c>
      <c r="D135" s="165">
        <f>D95*10000/D62</f>
        <v>-0.005094594995386982</v>
      </c>
      <c r="E135" s="165">
        <f>E95*10000/E62</f>
        <v>-0.0030952478320236997</v>
      </c>
      <c r="F135" s="165">
        <f>F95*10000/F62</f>
        <v>0.007966533017580064</v>
      </c>
      <c r="G135" s="165">
        <f>AVERAGE(C135:E135)</f>
        <v>-0.004800691654562123</v>
      </c>
      <c r="H135" s="165">
        <f>STDEV(C135:E135)</f>
        <v>0.0015791396925380968</v>
      </c>
      <c r="I135" s="165">
        <f>(B135*B4+C135*C4+D135*D4+E135*E4+F135*F4)/SUM(B4:F4)</f>
        <v>-0.002787611551223527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2003-07-03T13:57:32Z</cp:lastPrinted>
  <dcterms:created xsi:type="dcterms:W3CDTF">1999-06-17T15:15:05Z</dcterms:created>
  <dcterms:modified xsi:type="dcterms:W3CDTF">2005-10-05T15:17:31Z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1421584721</vt:i4>
  </property>
  <property fmtid="{D5CDD505-2E9C-101B-9397-08002B2CF9AE}" pid="3" name="_EmailSubject">
    <vt:lpwstr>WFM result of aperture 54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