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51_pos1ap2" sheetId="2" r:id="rId2"/>
    <sheet name="HCMQAP151_pos2ap2" sheetId="3" r:id="rId3"/>
    <sheet name="HCMQAP151_pos3ap2" sheetId="4" r:id="rId4"/>
    <sheet name="HCMQAP151_pos4ap2" sheetId="5" r:id="rId5"/>
    <sheet name="HCMQAP151_pos5ap2" sheetId="6" r:id="rId6"/>
    <sheet name="Lmag_hcmqap" sheetId="7" r:id="rId7"/>
    <sheet name="Result_HCMQAP" sheetId="8" r:id="rId8"/>
  </sheets>
  <definedNames>
    <definedName name="_xlnm.Print_Area" localSheetId="1">'HCMQAP151_pos1ap2'!$A$1:$N$28</definedName>
    <definedName name="_xlnm.Print_Area" localSheetId="2">'HCMQAP151_pos2ap2'!$A$1:$N$28</definedName>
    <definedName name="_xlnm.Print_Area" localSheetId="3">'HCMQAP151_pos3ap2'!$A$1:$N$28</definedName>
    <definedName name="_xlnm.Print_Area" localSheetId="4">'HCMQAP151_pos4ap2'!$A$1:$N$28</definedName>
    <definedName name="_xlnm.Print_Area" localSheetId="5">'HCMQAP151_pos5ap2'!$A$1:$N$28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<sst xmlns="http://schemas.openxmlformats.org/spreadsheetml/2006/main" count="513" uniqueCount="192">
  <si>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</si>
  <si>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</si>
  <si>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</si>
  <si>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</si>
  <si>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</si>
  <si>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</si>
  <si>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</si>
  <si>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</si>
  <si>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</si>
  <si>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</si>
  <si>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</si>
  <si>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</si>
  <si>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</si>
  <si>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</si>
  <si>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</si>
  <si>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hcmqap151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</si>
  <si>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</si>
  <si>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</si>
  <si>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</si>
  <si>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</si>
  <si>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</si>
  <si>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</si>
  <si>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</si>
  <si>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</si>
  <si>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</si>
  <si>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</si>
  <si>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</si>
  <si>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</si>
  <si>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</si>
  <si>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</si>
  <si>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</si>
  <si>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</si>
  <si>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</si>
  <si>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</si>
  <si>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</si>
  <si>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</si>
  <si>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</si>
  <si>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</si>
  <si>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</si>
  <si>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</si>
  <si>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</si>
  <si>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</si>
  <si>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</si>
  <si>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</si>
  <si>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</si>
  <si>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</si>
  <si>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</si>
  <si>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</si>
  <si>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</si>
  <si>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</si>
  <si>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</si>
  <si>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</si>
  <si>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</si>
  <si>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</si>
  <si>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</si>
  <si>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</si>
  <si>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</si>
  <si>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</si>
  <si>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</si>
  <si>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</si>
  <si>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</si>
  <si>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</si>
  <si>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</si>
  <si>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</si>
  <si>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</si>
  <si>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</si>
  <si>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</si>
  <si>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</si>
  <si>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HCMQAP151_pos1ap2</t>
  </si>
  <si>
    <t>19/12/2003</t>
  </si>
  <si>
    <t>±12.5</t>
  </si>
  <si>
    <t>THCMQAP151_pos1ap2.xls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</si>
  <si>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-3.741 mT)</t>
    </r>
  </si>
  <si>
    <t>HCMQAP151_pos2ap2</t>
  </si>
  <si>
    <t>THCMQAP151_pos2ap2.xls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</si>
  <si>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 mT)</t>
    </r>
  </si>
  <si>
    <t>HCMQAP151_pos3ap2</t>
  </si>
  <si>
    <t>THCMQAP151_pos3ap2.xls</t>
  </si>
  <si>
    <t>HCMQAP151_pos4ap2</t>
  </si>
  <si>
    <t>THCMQAP151_pos4ap2.xls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</si>
  <si>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</si>
  <si>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t>HCMQAP151_pos5ap2</t>
  </si>
  <si>
    <t>THCMQAP151_pos5ap2.xls</t>
  </si>
  <si>
    <t>Sommaire : Valeurs intégrales calculées avec les fichiers: HCMQAP151_pos1ap2+HCMQAP151_pos2ap2+HCMQAP151_pos3ap2+HCMQAP151_pos4ap2+HCMQAP151_pos5ap2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</si>
  <si>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</si>
  <si>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</si>
  <si>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</si>
  <si>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</si>
  <si>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</si>
  <si>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</si>
  <si>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</si>
  <si>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</si>
  <si>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</si>
  <si>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</si>
  <si>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</si>
  <si>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</si>
  <si>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</si>
  <si>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</si>
  <si>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</si>
  <si>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</si>
  <si>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</si>
  <si>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</si>
  <si>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</si>
  <si>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</si>
  <si>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</si>
  <si>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</si>
  <si>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</si>
  <si>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</si>
  <si>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</si>
  <si>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</si>
  <si>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</si>
  <si>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</si>
  <si>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</si>
  <si>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</si>
  <si>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</si>
  <si>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</si>
  <si>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</si>
  <si>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</si>
  <si>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</si>
  <si>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</si>
  <si>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</si>
  <si>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</si>
  <si>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</si>
  <si>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</si>
  <si>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</si>
  <si>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</si>
  <si>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</si>
  <si>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=-3.741</t>
    </r>
  </si>
  <si>
    <t>Gradient (T/m)</t>
  </si>
  <si>
    <t xml:space="preserve"> Fri 19/12/2003       08:43:33</t>
  </si>
  <si>
    <t>SIEGMUND</t>
  </si>
  <si>
    <t>HCMQAP151</t>
  </si>
  <si>
    <t>Aperture2</t>
  </si>
  <si>
    <t>Position</t>
  </si>
  <si>
    <t>Integrales</t>
  </si>
  <si>
    <t>Cn (T)</t>
  </si>
  <si>
    <t>Angle (Horiz,Cn)</t>
  </si>
  <si>
    <t>b1</t>
  </si>
  <si>
    <t>b2</t>
  </si>
  <si>
    <t>b6*!</t>
  </si>
  <si>
    <t>a1</t>
  </si>
  <si>
    <t>a2</t>
  </si>
  <si>
    <t>Temp taupe (deg)</t>
  </si>
  <si>
    <t>Niv init (mrad)</t>
  </si>
  <si>
    <t>Dx moy (mm)</t>
  </si>
  <si>
    <t>Dy moy (mm)</t>
  </si>
  <si>
    <t>C2 centre (T)</t>
  </si>
  <si>
    <t>-0.003736*</t>
  </si>
  <si>
    <t>Long. Mag. (m)</t>
  </si>
  <si>
    <t>* = Integral error  ! = Central error           Conclusion : CONTACT CEA           Duration : 30mn</t>
  </si>
  <si>
    <t>Number of measurement</t>
  </si>
  <si>
    <t>Mean real current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</si>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</sst>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5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6738900"/>
        <c:axId val="16432373"/>
      </c:lineChart>
      <c:catAx>
        <c:axId val="16738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67389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2862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2862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2862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2862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2862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1.8896055E-05</v>
      </c>
      <c r="L2" s="55">
        <v>9.002652581290199E-08</v>
      </c>
      <c r="M2" s="55">
        <v>5.9402324E-05</v>
      </c>
      <c r="N2" s="56">
        <v>1.2076335248723282E-07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-3.1808889E-05</v>
      </c>
      <c r="L3" s="55">
        <v>1.4569208054553017E-07</v>
      </c>
      <c r="M3" s="55">
        <v>1.4779394E-05</v>
      </c>
      <c r="N3" s="56">
        <v>1.3408083212748586E-07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-0.002246896287634803</v>
      </c>
      <c r="L4" s="55">
        <v>-2.19089941017645E-05</v>
      </c>
      <c r="M4" s="55">
        <v>5.096999420305832E-08</v>
      </c>
      <c r="N4" s="56">
        <v>4.8752361</v>
      </c>
    </row>
    <row r="5" spans="1:14" ht="15" customHeight="1" thickBot="1">
      <c r="A5" t="s">
        <v>18</v>
      </c>
      <c r="B5" s="59">
        <v>37974.34216435185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1.8063753999999999</v>
      </c>
      <c r="E8" s="78">
        <v>0.024251208181043718</v>
      </c>
      <c r="F8" s="78">
        <v>-1.4583798000000001</v>
      </c>
      <c r="G8" s="78">
        <v>0.021665159887692433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-1.06071246</v>
      </c>
      <c r="E9" s="80">
        <v>0.028118306125988177</v>
      </c>
      <c r="F9" s="80">
        <v>-1.357665</v>
      </c>
      <c r="G9" s="80">
        <v>0.01667242248445325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0.15145398599999998</v>
      </c>
      <c r="E10" s="80">
        <v>0.006765169252692355</v>
      </c>
      <c r="F10" s="80">
        <v>-0.7018557900000001</v>
      </c>
      <c r="G10" s="80">
        <v>0.01516800562039036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2.2999403999999997</v>
      </c>
      <c r="E11" s="78">
        <v>0.009061296289206424</v>
      </c>
      <c r="F11" s="78">
        <v>0.4970154600000001</v>
      </c>
      <c r="G11" s="78">
        <v>0.010482846814837285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-0.10693892</v>
      </c>
      <c r="E12" s="80">
        <v>0.00657062466365244</v>
      </c>
      <c r="F12" s="80">
        <v>0.24802918</v>
      </c>
      <c r="G12" s="80">
        <v>0.005145721080625844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18.685914</v>
      </c>
      <c r="D13" s="83">
        <v>-0.061101479800000004</v>
      </c>
      <c r="E13" s="80">
        <v>0.007718063105444753</v>
      </c>
      <c r="F13" s="80">
        <v>0.0892081386</v>
      </c>
      <c r="G13" s="80">
        <v>0.004810044245190834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-0.071447962</v>
      </c>
      <c r="E14" s="80">
        <v>0.001433310819629168</v>
      </c>
      <c r="F14" s="80">
        <v>-0.028780976999999996</v>
      </c>
      <c r="G14" s="80">
        <v>0.0045352998232450195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-0.45277298000000005</v>
      </c>
      <c r="E15" s="78">
        <v>0.0036611571230377744</v>
      </c>
      <c r="F15" s="78">
        <v>0.101461363</v>
      </c>
      <c r="G15" s="78">
        <v>0.0037115046580973765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0.01403309747</v>
      </c>
      <c r="E16" s="80">
        <v>0.003377998949176245</v>
      </c>
      <c r="F16" s="80">
        <v>0.016918102</v>
      </c>
      <c r="G16" s="80">
        <v>0.002166674265893691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0.19499999284744263</v>
      </c>
      <c r="D17" s="83">
        <v>0.0013469549999999997</v>
      </c>
      <c r="E17" s="80">
        <v>0.0022684887691214167</v>
      </c>
      <c r="F17" s="80">
        <v>0.0363981365</v>
      </c>
      <c r="G17" s="80">
        <v>0.0014691414168584575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4.578000068664551</v>
      </c>
      <c r="D18" s="83">
        <v>0.008012754729999998</v>
      </c>
      <c r="E18" s="80">
        <v>0.0017433797089011851</v>
      </c>
      <c r="F18" s="80">
        <v>0.055946637</v>
      </c>
      <c r="G18" s="80">
        <v>0.0012138191296919142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0.14399999380111694</v>
      </c>
      <c r="D19" s="86">
        <v>-0.20328227999999998</v>
      </c>
      <c r="E19" s="80">
        <v>0.001672700022597755</v>
      </c>
      <c r="F19" s="80">
        <v>0.015276843999999998</v>
      </c>
      <c r="G19" s="80">
        <v>0.0011200749210361085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0.1385697</v>
      </c>
      <c r="D20" s="88">
        <v>0.00192678373</v>
      </c>
      <c r="E20" s="89">
        <v>0.0007712617922389746</v>
      </c>
      <c r="F20" s="89">
        <v>-0.0035536324000000003</v>
      </c>
      <c r="G20" s="89">
        <v>0.0012381649890152507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0.4507797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0.2793306886003584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-2.2470031</v>
      </c>
      <c r="I25" s="101" t="s">
        <v>49</v>
      </c>
      <c r="J25" s="102"/>
      <c r="K25" s="101"/>
      <c r="L25" s="104">
        <v>2.3530300064026317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2.3216080045462455</v>
      </c>
      <c r="I26" s="106" t="s">
        <v>53</v>
      </c>
      <c r="J26" s="107"/>
      <c r="K26" s="106"/>
      <c r="L26" s="109">
        <v>0.4640019176683413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HCMQAP151_pos1ap2res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5.5754067E-05</v>
      </c>
      <c r="L2" s="55">
        <v>2.085889929415746E-07</v>
      </c>
      <c r="M2" s="55">
        <v>0.000100649816</v>
      </c>
      <c r="N2" s="56">
        <v>3.094674702323592E-07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-2.9280233E-05</v>
      </c>
      <c r="L3" s="55">
        <v>1.4701251176551873E-07</v>
      </c>
      <c r="M3" s="55">
        <v>1.3499003999999998E-05</v>
      </c>
      <c r="N3" s="56">
        <v>3.261541037210164E-07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-0.0037403627642648564</v>
      </c>
      <c r="L4" s="55">
        <v>-6.067762812581036E-05</v>
      </c>
      <c r="M4" s="55">
        <v>8.230638008915478E-08</v>
      </c>
      <c r="N4" s="56">
        <v>8.1104842</v>
      </c>
    </row>
    <row r="5" spans="1:14" ht="15" customHeight="1" thickBot="1">
      <c r="A5" t="s">
        <v>18</v>
      </c>
      <c r="B5" s="59">
        <v>37974.34663194444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1.3663861000000002</v>
      </c>
      <c r="E8" s="78">
        <v>0.01976632057414526</v>
      </c>
      <c r="F8" s="78">
        <v>-1.5130275000000002</v>
      </c>
      <c r="G8" s="78">
        <v>0.011620344284907469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-0.5772999499999999</v>
      </c>
      <c r="E9" s="80">
        <v>0.011881664124023986</v>
      </c>
      <c r="F9" s="80">
        <v>1.6496495000000002</v>
      </c>
      <c r="G9" s="80">
        <v>0.0089827068470047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-0.170149949</v>
      </c>
      <c r="E10" s="80">
        <v>0.00600584936535288</v>
      </c>
      <c r="F10" s="80">
        <v>-0.34260914</v>
      </c>
      <c r="G10" s="80">
        <v>0.005969524803820678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1.6261706</v>
      </c>
      <c r="E11" s="78">
        <v>0.0020349974052878018</v>
      </c>
      <c r="F11" s="78">
        <v>0.117864229</v>
      </c>
      <c r="G11" s="78">
        <v>0.004620770718858886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0.065631825</v>
      </c>
      <c r="E12" s="80">
        <v>0.0034377673137095787</v>
      </c>
      <c r="F12" s="80">
        <v>0.16060399</v>
      </c>
      <c r="G12" s="80">
        <v>0.0021398120888050467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18.768311</v>
      </c>
      <c r="D13" s="83">
        <v>-0.027962517</v>
      </c>
      <c r="E13" s="80">
        <v>0.0034658082242264737</v>
      </c>
      <c r="F13" s="80">
        <v>0.34658963</v>
      </c>
      <c r="G13" s="80">
        <v>0.0012557801406375814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0.0237150634</v>
      </c>
      <c r="E14" s="80">
        <v>0.0017829388908449202</v>
      </c>
      <c r="F14" s="80">
        <v>-0.055904547000000006</v>
      </c>
      <c r="G14" s="80">
        <v>0.0017870929661395263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-0.20667415</v>
      </c>
      <c r="E15" s="78">
        <v>0.002288585444547682</v>
      </c>
      <c r="F15" s="78">
        <v>0.058480845999999996</v>
      </c>
      <c r="G15" s="78">
        <v>0.0012478252480990157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-0.0033000658000000003</v>
      </c>
      <c r="E16" s="80">
        <v>0.00218743974198931</v>
      </c>
      <c r="F16" s="80">
        <v>-0.0083233969</v>
      </c>
      <c r="G16" s="80">
        <v>0.0022182307525689996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-0.21699999272823334</v>
      </c>
      <c r="D17" s="83">
        <v>-0.0004535279999999992</v>
      </c>
      <c r="E17" s="80">
        <v>0.00162510971237206</v>
      </c>
      <c r="F17" s="80">
        <v>0.0476392426</v>
      </c>
      <c r="G17" s="80">
        <v>0.0008816982036845175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17.292999267578125</v>
      </c>
      <c r="D18" s="83">
        <v>0.029955927</v>
      </c>
      <c r="E18" s="80">
        <v>0.0012115688088903333</v>
      </c>
      <c r="F18" s="80">
        <v>0.043529743999999995</v>
      </c>
      <c r="G18" s="80">
        <v>0.0010924424339316383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-0.25600001215934753</v>
      </c>
      <c r="D19" s="86">
        <v>-0.18089969</v>
      </c>
      <c r="E19" s="80">
        <v>0.00048545032639917105</v>
      </c>
      <c r="F19" s="80">
        <v>0.016859746000000002</v>
      </c>
      <c r="G19" s="80">
        <v>0.000514569334486608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0.2459151</v>
      </c>
      <c r="D20" s="88">
        <v>5.207973899999997E-05</v>
      </c>
      <c r="E20" s="89">
        <v>0.0006369041185663777</v>
      </c>
      <c r="F20" s="89">
        <v>-0.00557539903</v>
      </c>
      <c r="G20" s="89">
        <v>0.0012260223932443015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0.4614426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0.4646969069802234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-3.7408549</v>
      </c>
      <c r="I25" s="101" t="s">
        <v>49</v>
      </c>
      <c r="J25" s="102"/>
      <c r="K25" s="101"/>
      <c r="L25" s="104">
        <v>1.630436382316748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2.0386915387153253</v>
      </c>
      <c r="I26" s="106" t="s">
        <v>53</v>
      </c>
      <c r="J26" s="107"/>
      <c r="K26" s="106"/>
      <c r="L26" s="109">
        <v>0.21478876513239284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2.47112073E-05</v>
      </c>
      <c r="L2" s="55">
        <v>2.1055230497443058E-07</v>
      </c>
      <c r="M2" s="55">
        <v>8.9187876E-05</v>
      </c>
      <c r="N2" s="56">
        <v>3.768542538082091E-07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-2.7854030699999998E-05</v>
      </c>
      <c r="L3" s="55">
        <v>5.166281042355077E-08</v>
      </c>
      <c r="M3" s="55">
        <v>1.1278364000000002E-05</v>
      </c>
      <c r="N3" s="56">
        <v>3.448912325560007E-07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-0.003739547240615864</v>
      </c>
      <c r="L4" s="55">
        <v>-5.588506456397066E-05</v>
      </c>
      <c r="M4" s="55">
        <v>3.294325705514719E-08</v>
      </c>
      <c r="N4" s="56">
        <v>7.471613700000001</v>
      </c>
    </row>
    <row r="5" spans="1:14" ht="15" customHeight="1" thickBot="1">
      <c r="A5" t="s">
        <v>18</v>
      </c>
      <c r="B5" s="59">
        <v>37974.35107638889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-0.67364541</v>
      </c>
      <c r="E8" s="78">
        <v>0.011604321381253732</v>
      </c>
      <c r="F8" s="78">
        <v>-1.6464448999999999</v>
      </c>
      <c r="G8" s="78">
        <v>0.010969475203531058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-0.20769042000000004</v>
      </c>
      <c r="E9" s="80">
        <v>0.0138288022473601</v>
      </c>
      <c r="F9" s="80">
        <v>-1.6397486999999997</v>
      </c>
      <c r="G9" s="80">
        <v>0.01571232542499591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0.6090537699999999</v>
      </c>
      <c r="E10" s="80">
        <v>0.005137937143998499</v>
      </c>
      <c r="F10" s="80">
        <v>-0.62460664</v>
      </c>
      <c r="G10" s="80">
        <v>0.005059631598577983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1.7788843</v>
      </c>
      <c r="E11" s="78">
        <v>0.0021775723318107937</v>
      </c>
      <c r="F11" s="78">
        <v>0.25579793</v>
      </c>
      <c r="G11" s="78">
        <v>0.0025060099380485178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0.081442449</v>
      </c>
      <c r="E12" s="80">
        <v>0.0023557664490676563</v>
      </c>
      <c r="F12" s="80">
        <v>0.066970512</v>
      </c>
      <c r="G12" s="80">
        <v>0.002504432326865039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18.872071</v>
      </c>
      <c r="D13" s="83">
        <v>0.132223563</v>
      </c>
      <c r="E13" s="80">
        <v>0.0023445123656600985</v>
      </c>
      <c r="F13" s="80">
        <v>-0.196173966</v>
      </c>
      <c r="G13" s="80">
        <v>0.0030511058029611656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0.12206990000000002</v>
      </c>
      <c r="E14" s="80">
        <v>0.002773804582337279</v>
      </c>
      <c r="F14" s="80">
        <v>-0.09783171399999999</v>
      </c>
      <c r="G14" s="80">
        <v>0.0015474017642602938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-0.18490601999999998</v>
      </c>
      <c r="E15" s="78">
        <v>0.0015832356301593966</v>
      </c>
      <c r="F15" s="78">
        <v>0.058692935</v>
      </c>
      <c r="G15" s="78">
        <v>0.001172741444901458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-0.014225586000000002</v>
      </c>
      <c r="E16" s="80">
        <v>0.0011914275559823187</v>
      </c>
      <c r="F16" s="80">
        <v>-0.0047389393699999996</v>
      </c>
      <c r="G16" s="80">
        <v>0.0018709698320293574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0.2549999952316284</v>
      </c>
      <c r="D17" s="83">
        <v>-0.0204954849</v>
      </c>
      <c r="E17" s="80">
        <v>0.0008945976630804852</v>
      </c>
      <c r="F17" s="80">
        <v>-0.022266726000000004</v>
      </c>
      <c r="G17" s="80">
        <v>0.001714392990721174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1.0169999599456787</v>
      </c>
      <c r="D18" s="83">
        <v>0.005283606368999999</v>
      </c>
      <c r="E18" s="80">
        <v>0.0012781831675383775</v>
      </c>
      <c r="F18" s="80">
        <v>0.036289724999999995</v>
      </c>
      <c r="G18" s="80">
        <v>0.0009384535836312098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0.2029999941587448</v>
      </c>
      <c r="D19" s="86">
        <v>-0.1859016</v>
      </c>
      <c r="E19" s="80">
        <v>0.00047031656891804367</v>
      </c>
      <c r="F19" s="80">
        <v>0.016243148000000002</v>
      </c>
      <c r="G19" s="80">
        <v>0.0013551772616842207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0.10625480000000001</v>
      </c>
      <c r="D20" s="88">
        <v>-0.005360805200000001</v>
      </c>
      <c r="E20" s="89">
        <v>0.0008408515810291738</v>
      </c>
      <c r="F20" s="89">
        <v>-0.0019872975300000003</v>
      </c>
      <c r="G20" s="89">
        <v>0.001093570689921188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0.40703290000000003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0.42809229275621585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-3.7399648</v>
      </c>
      <c r="I25" s="101" t="s">
        <v>49</v>
      </c>
      <c r="J25" s="102"/>
      <c r="K25" s="101"/>
      <c r="L25" s="104">
        <v>1.7971816641004257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1.7789263467468455</v>
      </c>
      <c r="I26" s="106" t="s">
        <v>53</v>
      </c>
      <c r="J26" s="107"/>
      <c r="K26" s="106"/>
      <c r="L26" s="109">
        <v>0.19399767228282566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4.9153918E-05</v>
      </c>
      <c r="L2" s="55">
        <v>1.133901544943225E-07</v>
      </c>
      <c r="M2" s="55">
        <v>0.00014275174999999997</v>
      </c>
      <c r="N2" s="56">
        <v>9.196008376204103E-08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-2.90262E-05</v>
      </c>
      <c r="L3" s="55">
        <v>1.085538428609435E-07</v>
      </c>
      <c r="M3" s="55">
        <v>9.375869999999999E-06</v>
      </c>
      <c r="N3" s="56">
        <v>2.0916154187613558E-07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-0.00374109004238281</v>
      </c>
      <c r="L4" s="55">
        <v>-4.2689592093902835E-05</v>
      </c>
      <c r="M4" s="55">
        <v>3.931717536521943E-08</v>
      </c>
      <c r="N4" s="56">
        <v>5.705254200000001</v>
      </c>
    </row>
    <row r="5" spans="1:14" ht="15" customHeight="1" thickBot="1">
      <c r="A5" t="s">
        <v>18</v>
      </c>
      <c r="B5" s="59">
        <v>37974.35556712963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-3.1615781999999997</v>
      </c>
      <c r="E8" s="78">
        <v>0.01109105366785837</v>
      </c>
      <c r="F8" s="78">
        <v>-0.6974698800000001</v>
      </c>
      <c r="G8" s="78">
        <v>0.007210857029549763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-0.53176313</v>
      </c>
      <c r="E9" s="80">
        <v>0.0035890589226452605</v>
      </c>
      <c r="F9" s="114">
        <v>-3.2723998</v>
      </c>
      <c r="G9" s="80">
        <v>0.010701821843007924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1.2195626000000002</v>
      </c>
      <c r="E10" s="80">
        <v>0.008734708348856353</v>
      </c>
      <c r="F10" s="80">
        <v>0.56356743</v>
      </c>
      <c r="G10" s="80">
        <v>0.005307283964104866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1.606167</v>
      </c>
      <c r="E11" s="78">
        <v>0.005232016647560121</v>
      </c>
      <c r="F11" s="78">
        <v>-0.116323358</v>
      </c>
      <c r="G11" s="78">
        <v>0.0018144040036711566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-0.065801007</v>
      </c>
      <c r="E12" s="80">
        <v>0.0029208380838340506</v>
      </c>
      <c r="F12" s="80">
        <v>-0.030420421000000003</v>
      </c>
      <c r="G12" s="80">
        <v>0.0052424934591493765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18.988038</v>
      </c>
      <c r="D13" s="83">
        <v>0.04040608799999999</v>
      </c>
      <c r="E13" s="80">
        <v>0.0031847946338384838</v>
      </c>
      <c r="F13" s="80">
        <v>-0.226976967</v>
      </c>
      <c r="G13" s="80">
        <v>0.0022418878606315484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0.032045932</v>
      </c>
      <c r="E14" s="80">
        <v>0.0018290629523272479</v>
      </c>
      <c r="F14" s="80">
        <v>0.13413487799999999</v>
      </c>
      <c r="G14" s="80">
        <v>0.0025774805331935497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-0.21230739</v>
      </c>
      <c r="E15" s="78">
        <v>0.0014447893823698588</v>
      </c>
      <c r="F15" s="78">
        <v>0.04593392</v>
      </c>
      <c r="G15" s="78">
        <v>0.002574947064271505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0.018833432599999998</v>
      </c>
      <c r="E16" s="80">
        <v>0.0013334292589747988</v>
      </c>
      <c r="F16" s="80">
        <v>0.023472155</v>
      </c>
      <c r="G16" s="80">
        <v>0.002159886735308118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-0.35100001096725464</v>
      </c>
      <c r="D17" s="83">
        <v>-0.0241629806</v>
      </c>
      <c r="E17" s="80">
        <v>0.0011603059667246972</v>
      </c>
      <c r="F17" s="80">
        <v>-0.005391391000000001</v>
      </c>
      <c r="G17" s="80">
        <v>0.0013715010111749815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28.992000579833984</v>
      </c>
      <c r="D18" s="83">
        <v>0.016701738700000003</v>
      </c>
      <c r="E18" s="80">
        <v>0.000694723585026154</v>
      </c>
      <c r="F18" s="80">
        <v>0.056127153</v>
      </c>
      <c r="G18" s="80">
        <v>0.0013504071698626544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-0.4320000112056732</v>
      </c>
      <c r="D19" s="86">
        <v>-0.18275821000000003</v>
      </c>
      <c r="E19" s="80">
        <v>0.0008947357410918499</v>
      </c>
      <c r="F19" s="80">
        <v>0.016433367</v>
      </c>
      <c r="G19" s="80">
        <v>0.0010079541350160397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0.21594919999999998</v>
      </c>
      <c r="D20" s="88">
        <v>-0.005340306920000001</v>
      </c>
      <c r="E20" s="89">
        <v>0.00036490091546382517</v>
      </c>
      <c r="F20" s="89">
        <v>0.00542833288</v>
      </c>
      <c r="G20" s="89">
        <v>0.0009847927753150114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0.6511410000000001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0.32688726281914576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-3.7413335999999995</v>
      </c>
      <c r="I25" s="101" t="s">
        <v>49</v>
      </c>
      <c r="J25" s="102"/>
      <c r="K25" s="101"/>
      <c r="L25" s="104">
        <v>1.610373731624245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3.237598021407607</v>
      </c>
      <c r="I26" s="106" t="s">
        <v>53</v>
      </c>
      <c r="J26" s="107"/>
      <c r="K26" s="106"/>
      <c r="L26" s="109">
        <v>0.2172195959281264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4.861881E-05</v>
      </c>
      <c r="L2" s="55">
        <v>1.7487703702972918E-07</v>
      </c>
      <c r="M2" s="55">
        <v>9.5796854E-05</v>
      </c>
      <c r="N2" s="56">
        <v>3.125639155359599E-08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-3.1333226E-05</v>
      </c>
      <c r="L3" s="55">
        <v>1.4940986695718993E-07</v>
      </c>
      <c r="M3" s="55">
        <v>8.464966E-06</v>
      </c>
      <c r="N3" s="56">
        <v>1.8778669168498885E-07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-0.002083129334275387</v>
      </c>
      <c r="L4" s="55">
        <v>-3.0142424722362163E-05</v>
      </c>
      <c r="M4" s="55">
        <v>1.6368871894193417E-08</v>
      </c>
      <c r="N4" s="56">
        <v>7.234385499999999</v>
      </c>
    </row>
    <row r="5" spans="1:14" ht="15" customHeight="1" thickBot="1">
      <c r="A5" t="s">
        <v>18</v>
      </c>
      <c r="B5" s="59">
        <v>37974.36004629629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-0.57003968</v>
      </c>
      <c r="E8" s="78">
        <v>0.02477135289834627</v>
      </c>
      <c r="F8" s="115">
        <v>5.093145399999999</v>
      </c>
      <c r="G8" s="78">
        <v>0.026586696559390267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-1.06659952</v>
      </c>
      <c r="E9" s="80">
        <v>0.01150136270977697</v>
      </c>
      <c r="F9" s="80">
        <v>1.22386195</v>
      </c>
      <c r="G9" s="80">
        <v>0.01744852756194618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-1.60730656</v>
      </c>
      <c r="E10" s="80">
        <v>0.01267957899339659</v>
      </c>
      <c r="F10" s="80">
        <v>-2.1202498</v>
      </c>
      <c r="G10" s="80">
        <v>0.014118564461732423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13.047698</v>
      </c>
      <c r="E11" s="78">
        <v>0.004638526276606044</v>
      </c>
      <c r="F11" s="78">
        <v>0.54884011</v>
      </c>
      <c r="G11" s="78">
        <v>0.008646268387425125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0.29005842</v>
      </c>
      <c r="E12" s="80">
        <v>0.005498388108856232</v>
      </c>
      <c r="F12" s="80">
        <v>0.26824542</v>
      </c>
      <c r="G12" s="80">
        <v>0.006617558122041098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19.122315</v>
      </c>
      <c r="D13" s="83">
        <v>0.005635940000000001</v>
      </c>
      <c r="E13" s="80">
        <v>0.004514245653306874</v>
      </c>
      <c r="F13" s="80">
        <v>-0.010579449000000001</v>
      </c>
      <c r="G13" s="80">
        <v>0.005957925946873961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-0.03085732</v>
      </c>
      <c r="E14" s="80">
        <v>0.005362427664173196</v>
      </c>
      <c r="F14" s="80">
        <v>-0.09450412999999999</v>
      </c>
      <c r="G14" s="80">
        <v>0.005555466907049796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-0.55290889</v>
      </c>
      <c r="E15" s="78">
        <v>0.004085437295622817</v>
      </c>
      <c r="F15" s="78">
        <v>0.25641344</v>
      </c>
      <c r="G15" s="78">
        <v>0.005288595484286242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-0.007508858999999998</v>
      </c>
      <c r="E16" s="80">
        <v>0.0017995244640359896</v>
      </c>
      <c r="F16" s="80">
        <v>0.020515370699999997</v>
      </c>
      <c r="G16" s="80">
        <v>0.0022697445613097337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0.3659999966621399</v>
      </c>
      <c r="D17" s="83">
        <v>-0.036275204</v>
      </c>
      <c r="E17" s="80">
        <v>0.0018392144140703176</v>
      </c>
      <c r="F17" s="80">
        <v>0.010368858</v>
      </c>
      <c r="G17" s="80">
        <v>0.0036453104603204212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0.002273629</v>
      </c>
      <c r="E18" s="80">
        <v>0.0014347319438067865</v>
      </c>
      <c r="F18" s="80">
        <v>0.05565872599999999</v>
      </c>
      <c r="G18" s="80">
        <v>0.0019885794605885394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0.2800000011920929</v>
      </c>
      <c r="D19" s="83">
        <v>-0.14297341000000002</v>
      </c>
      <c r="E19" s="80">
        <v>0.0007098976337452451</v>
      </c>
      <c r="F19" s="80">
        <v>-0.023327434999999997</v>
      </c>
      <c r="G19" s="80">
        <v>0.0015608773547400251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0.3853523</v>
      </c>
      <c r="D20" s="88">
        <v>0.0037909425999999996</v>
      </c>
      <c r="E20" s="89">
        <v>0.0007335477956606117</v>
      </c>
      <c r="F20" s="89">
        <v>0.0016385348000000001</v>
      </c>
      <c r="G20" s="89">
        <v>0.0011672205954269572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0.7873618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0.4145001066339019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-2.0833474</v>
      </c>
      <c r="I25" s="101" t="s">
        <v>49</v>
      </c>
      <c r="J25" s="102"/>
      <c r="K25" s="101"/>
      <c r="L25" s="104">
        <v>13.059236140201648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5.124946370677029</v>
      </c>
      <c r="I26" s="106" t="s">
        <v>53</v>
      </c>
      <c r="J26" s="107"/>
      <c r="K26" s="106"/>
      <c r="L26" s="109">
        <v>0.609471978727214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HCMQAP151_pos5ap2res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2" t="s">
        <v>121</v>
      </c>
    </row>
    <row r="2" spans="1:7" ht="13.5" thickBot="1">
      <c r="A2" s="140" t="s">
        <v>90</v>
      </c>
      <c r="B2" s="132">
        <v>-2.2470031</v>
      </c>
      <c r="C2" s="123">
        <v>-3.7408549</v>
      </c>
      <c r="D2" s="123">
        <v>-3.7399648</v>
      </c>
      <c r="E2" s="123">
        <v>-3.7413335999999995</v>
      </c>
      <c r="F2" s="129">
        <v>-2.0833474</v>
      </c>
      <c r="G2" s="163">
        <v>3.1178034075563734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7" t="s">
        <v>122</v>
      </c>
    </row>
    <row r="4" spans="1:7" ht="12.75">
      <c r="A4" s="145" t="s">
        <v>91</v>
      </c>
      <c r="B4" s="146">
        <v>1.8063753999999999</v>
      </c>
      <c r="C4" s="147">
        <v>1.3663861000000002</v>
      </c>
      <c r="D4" s="147">
        <v>-0.67364541</v>
      </c>
      <c r="E4" s="147">
        <v>-3.1615781999999997</v>
      </c>
      <c r="F4" s="152">
        <v>-0.57003968</v>
      </c>
      <c r="G4" s="158">
        <v>-0.4092676250593995</v>
      </c>
    </row>
    <row r="5" spans="1:7" ht="12.75">
      <c r="A5" s="140" t="s">
        <v>93</v>
      </c>
      <c r="B5" s="134">
        <v>-1.06071246</v>
      </c>
      <c r="C5" s="118">
        <v>-0.5772999499999999</v>
      </c>
      <c r="D5" s="118">
        <v>-0.20769042000000004</v>
      </c>
      <c r="E5" s="118">
        <v>-0.53176313</v>
      </c>
      <c r="F5" s="153">
        <v>-1.06659952</v>
      </c>
      <c r="G5" s="159">
        <v>-0.6128514815084959</v>
      </c>
    </row>
    <row r="6" spans="1:7" ht="12.75">
      <c r="A6" s="140" t="s">
        <v>95</v>
      </c>
      <c r="B6" s="134">
        <v>0.15145398599999998</v>
      </c>
      <c r="C6" s="118">
        <v>-0.170149949</v>
      </c>
      <c r="D6" s="118">
        <v>0.6090537699999999</v>
      </c>
      <c r="E6" s="118">
        <v>1.2195626000000002</v>
      </c>
      <c r="F6" s="153">
        <v>-1.60730656</v>
      </c>
      <c r="G6" s="159">
        <v>0.20548868514725377</v>
      </c>
    </row>
    <row r="7" spans="1:7" ht="12.75">
      <c r="A7" s="140" t="s">
        <v>97</v>
      </c>
      <c r="B7" s="133">
        <v>2.2999403999999997</v>
      </c>
      <c r="C7" s="117">
        <v>1.6261706</v>
      </c>
      <c r="D7" s="117">
        <v>1.7788843</v>
      </c>
      <c r="E7" s="117">
        <v>1.606167</v>
      </c>
      <c r="F7" s="154">
        <v>13.047698</v>
      </c>
      <c r="G7" s="159">
        <v>3.2854067137234986</v>
      </c>
    </row>
    <row r="8" spans="1:7" ht="12.75">
      <c r="A8" s="140" t="s">
        <v>99</v>
      </c>
      <c r="B8" s="134">
        <v>-0.10693892</v>
      </c>
      <c r="C8" s="118">
        <v>0.065631825</v>
      </c>
      <c r="D8" s="118">
        <v>0.081442449</v>
      </c>
      <c r="E8" s="118">
        <v>-0.065801007</v>
      </c>
      <c r="F8" s="153">
        <v>0.29005842</v>
      </c>
      <c r="G8" s="159">
        <v>0.042946646226475024</v>
      </c>
    </row>
    <row r="9" spans="1:7" ht="12.75">
      <c r="A9" s="140" t="s">
        <v>101</v>
      </c>
      <c r="B9" s="134">
        <v>-0.061101479800000004</v>
      </c>
      <c r="C9" s="118">
        <v>-0.027962517</v>
      </c>
      <c r="D9" s="118">
        <v>0.132223563</v>
      </c>
      <c r="E9" s="118">
        <v>0.04040608799999999</v>
      </c>
      <c r="F9" s="153">
        <v>0.005635940000000001</v>
      </c>
      <c r="G9" s="159">
        <v>0.02671767961337032</v>
      </c>
    </row>
    <row r="10" spans="1:7" ht="12.75">
      <c r="A10" s="140" t="s">
        <v>103</v>
      </c>
      <c r="B10" s="134">
        <v>-0.071447962</v>
      </c>
      <c r="C10" s="118">
        <v>0.0237150634</v>
      </c>
      <c r="D10" s="118">
        <v>0.12206990000000002</v>
      </c>
      <c r="E10" s="118">
        <v>0.032045932</v>
      </c>
      <c r="F10" s="153">
        <v>-0.03085732</v>
      </c>
      <c r="G10" s="159">
        <v>0.02831157983079777</v>
      </c>
    </row>
    <row r="11" spans="1:7" ht="12.75">
      <c r="A11" s="140" t="s">
        <v>105</v>
      </c>
      <c r="B11" s="133">
        <v>-0.45277298000000005</v>
      </c>
      <c r="C11" s="117">
        <v>-0.20667415</v>
      </c>
      <c r="D11" s="117">
        <v>-0.18490601999999998</v>
      </c>
      <c r="E11" s="117">
        <v>-0.21230739</v>
      </c>
      <c r="F11" s="155">
        <v>-0.55290889</v>
      </c>
      <c r="G11" s="159">
        <v>-0.2847307693728941</v>
      </c>
    </row>
    <row r="12" spans="1:7" ht="12.75">
      <c r="A12" s="140" t="s">
        <v>107</v>
      </c>
      <c r="B12" s="134">
        <v>0.01403309747</v>
      </c>
      <c r="C12" s="118">
        <v>-0.0033000658000000003</v>
      </c>
      <c r="D12" s="118">
        <v>-0.014225586000000002</v>
      </c>
      <c r="E12" s="118">
        <v>0.018833432599999998</v>
      </c>
      <c r="F12" s="153">
        <v>-0.007508858999999998</v>
      </c>
      <c r="G12" s="159">
        <v>0.0013375819020964121</v>
      </c>
    </row>
    <row r="13" spans="1:7" ht="12.75">
      <c r="A13" s="140" t="s">
        <v>109</v>
      </c>
      <c r="B13" s="134">
        <v>0.0013469549999999997</v>
      </c>
      <c r="C13" s="118">
        <v>-0.0004535279999999992</v>
      </c>
      <c r="D13" s="118">
        <v>-0.0204954849</v>
      </c>
      <c r="E13" s="118">
        <v>-0.0241629806</v>
      </c>
      <c r="F13" s="153">
        <v>-0.036275204</v>
      </c>
      <c r="G13" s="159">
        <v>-0.015515057170296652</v>
      </c>
    </row>
    <row r="14" spans="1:7" ht="12.75">
      <c r="A14" s="140" t="s">
        <v>111</v>
      </c>
      <c r="B14" s="134">
        <v>0.008012754729999998</v>
      </c>
      <c r="C14" s="118">
        <v>0.029955927</v>
      </c>
      <c r="D14" s="118">
        <v>0.005283606368999999</v>
      </c>
      <c r="E14" s="118">
        <v>0.016701738700000003</v>
      </c>
      <c r="F14" s="153">
        <v>0.002273629</v>
      </c>
      <c r="G14" s="159">
        <v>0.013955919952863325</v>
      </c>
    </row>
    <row r="15" spans="1:7" ht="12.75">
      <c r="A15" s="140" t="s">
        <v>113</v>
      </c>
      <c r="B15" s="135">
        <v>-0.20328227999999998</v>
      </c>
      <c r="C15" s="119">
        <v>-0.18089969</v>
      </c>
      <c r="D15" s="119">
        <v>-0.1859016</v>
      </c>
      <c r="E15" s="119">
        <v>-0.18275821000000003</v>
      </c>
      <c r="F15" s="153">
        <v>-0.14297341000000002</v>
      </c>
      <c r="G15" s="160">
        <v>-0.18070296559485288</v>
      </c>
    </row>
    <row r="16" spans="1:7" ht="12.75">
      <c r="A16" s="140" t="s">
        <v>115</v>
      </c>
      <c r="B16" s="134">
        <v>0.00192678373</v>
      </c>
      <c r="C16" s="118">
        <v>5.207973899999997E-05</v>
      </c>
      <c r="D16" s="118">
        <v>-0.005360805200000001</v>
      </c>
      <c r="E16" s="118">
        <v>-0.005340306920000001</v>
      </c>
      <c r="F16" s="153">
        <v>0.0037909425999999996</v>
      </c>
      <c r="G16" s="159">
        <v>-0.0017750794757136017</v>
      </c>
    </row>
    <row r="17" spans="1:7" ht="12.75">
      <c r="A17" s="140" t="s">
        <v>92</v>
      </c>
      <c r="B17" s="133">
        <v>-1.4583798000000001</v>
      </c>
      <c r="C17" s="117">
        <v>-1.5130275000000002</v>
      </c>
      <c r="D17" s="117">
        <v>-1.6464448999999999</v>
      </c>
      <c r="E17" s="117">
        <v>-0.6974698800000001</v>
      </c>
      <c r="F17" s="154">
        <v>5.093145399999999</v>
      </c>
      <c r="G17" s="159">
        <v>-0.4560887816691393</v>
      </c>
    </row>
    <row r="18" spans="1:7" ht="12.75">
      <c r="A18" s="140" t="s">
        <v>94</v>
      </c>
      <c r="B18" s="134">
        <v>-1.357665</v>
      </c>
      <c r="C18" s="118">
        <v>1.6496495000000002</v>
      </c>
      <c r="D18" s="118">
        <v>-1.6397486999999997</v>
      </c>
      <c r="E18" s="119">
        <v>-3.2723998</v>
      </c>
      <c r="F18" s="153">
        <v>1.22386195</v>
      </c>
      <c r="G18" s="159">
        <v>-0.8169482125528594</v>
      </c>
    </row>
    <row r="19" spans="1:7" ht="12.75">
      <c r="A19" s="140" t="s">
        <v>96</v>
      </c>
      <c r="B19" s="134">
        <v>-0.7018557900000001</v>
      </c>
      <c r="C19" s="118">
        <v>-0.34260914</v>
      </c>
      <c r="D19" s="118">
        <v>-0.62460664</v>
      </c>
      <c r="E19" s="118">
        <v>0.56356743</v>
      </c>
      <c r="F19" s="153">
        <v>-2.1202498</v>
      </c>
      <c r="G19" s="159">
        <v>-0.48245950018278594</v>
      </c>
    </row>
    <row r="20" spans="1:7" ht="12.75">
      <c r="A20" s="140" t="s">
        <v>98</v>
      </c>
      <c r="B20" s="133">
        <v>0.4970154600000001</v>
      </c>
      <c r="C20" s="117">
        <v>0.117864229</v>
      </c>
      <c r="D20" s="117">
        <v>0.25579793</v>
      </c>
      <c r="E20" s="117">
        <v>-0.116323358</v>
      </c>
      <c r="F20" s="155">
        <v>0.54884011</v>
      </c>
      <c r="G20" s="159">
        <v>0.20720802784849007</v>
      </c>
    </row>
    <row r="21" spans="1:7" ht="12.75">
      <c r="A21" s="140" t="s">
        <v>100</v>
      </c>
      <c r="B21" s="134">
        <v>0.24802918</v>
      </c>
      <c r="C21" s="118">
        <v>0.16060399</v>
      </c>
      <c r="D21" s="118">
        <v>0.066970512</v>
      </c>
      <c r="E21" s="118">
        <v>-0.030420421000000003</v>
      </c>
      <c r="F21" s="153">
        <v>0.26824542</v>
      </c>
      <c r="G21" s="159">
        <v>0.11918475608570173</v>
      </c>
    </row>
    <row r="22" spans="1:7" ht="12.75">
      <c r="A22" s="140" t="s">
        <v>102</v>
      </c>
      <c r="B22" s="134">
        <v>0.0892081386</v>
      </c>
      <c r="C22" s="118">
        <v>0.34658963</v>
      </c>
      <c r="D22" s="118">
        <v>-0.196173966</v>
      </c>
      <c r="E22" s="118">
        <v>-0.226976967</v>
      </c>
      <c r="F22" s="153">
        <v>-0.010579449000000001</v>
      </c>
      <c r="G22" s="159">
        <v>-0.00693962013325816</v>
      </c>
    </row>
    <row r="23" spans="1:7" ht="12.75">
      <c r="A23" s="140" t="s">
        <v>104</v>
      </c>
      <c r="B23" s="134">
        <v>-0.028780976999999996</v>
      </c>
      <c r="C23" s="118">
        <v>-0.055904547000000006</v>
      </c>
      <c r="D23" s="118">
        <v>-0.09783171399999999</v>
      </c>
      <c r="E23" s="118">
        <v>0.13413487799999999</v>
      </c>
      <c r="F23" s="153">
        <v>-0.09450412999999999</v>
      </c>
      <c r="G23" s="159">
        <v>-0.021522612798357744</v>
      </c>
    </row>
    <row r="24" spans="1:7" ht="12.75">
      <c r="A24" s="140" t="s">
        <v>106</v>
      </c>
      <c r="B24" s="133">
        <v>0.101461363</v>
      </c>
      <c r="C24" s="117">
        <v>0.058480845999999996</v>
      </c>
      <c r="D24" s="117">
        <v>0.058692935</v>
      </c>
      <c r="E24" s="117">
        <v>0.04593392</v>
      </c>
      <c r="F24" s="155">
        <v>0.25641344</v>
      </c>
      <c r="G24" s="159">
        <v>0.08823751319320859</v>
      </c>
    </row>
    <row r="25" spans="1:7" ht="12.75">
      <c r="A25" s="140" t="s">
        <v>108</v>
      </c>
      <c r="B25" s="134">
        <v>0.016918102</v>
      </c>
      <c r="C25" s="118">
        <v>-0.0083233969</v>
      </c>
      <c r="D25" s="118">
        <v>-0.0047389393699999996</v>
      </c>
      <c r="E25" s="118">
        <v>0.023472155</v>
      </c>
      <c r="F25" s="153">
        <v>0.020515370699999997</v>
      </c>
      <c r="G25" s="159">
        <v>0.00769732957742543</v>
      </c>
    </row>
    <row r="26" spans="1:7" ht="12.75">
      <c r="A26" s="140" t="s">
        <v>110</v>
      </c>
      <c r="B26" s="134">
        <v>0.0363981365</v>
      </c>
      <c r="C26" s="118">
        <v>0.0476392426</v>
      </c>
      <c r="D26" s="118">
        <v>-0.022266726000000004</v>
      </c>
      <c r="E26" s="118">
        <v>-0.005391391000000001</v>
      </c>
      <c r="F26" s="153">
        <v>0.010368858</v>
      </c>
      <c r="G26" s="159">
        <v>0.011454900867293704</v>
      </c>
    </row>
    <row r="27" spans="1:7" ht="12.75">
      <c r="A27" s="140" t="s">
        <v>112</v>
      </c>
      <c r="B27" s="134">
        <v>0.055946637</v>
      </c>
      <c r="C27" s="118">
        <v>0.043529743999999995</v>
      </c>
      <c r="D27" s="118">
        <v>0.036289724999999995</v>
      </c>
      <c r="E27" s="118">
        <v>0.056127153</v>
      </c>
      <c r="F27" s="153">
        <v>0.05565872599999999</v>
      </c>
      <c r="G27" s="159">
        <v>0.0482378845330392</v>
      </c>
    </row>
    <row r="28" spans="1:7" ht="12.75">
      <c r="A28" s="140" t="s">
        <v>114</v>
      </c>
      <c r="B28" s="134">
        <v>0.015276843999999998</v>
      </c>
      <c r="C28" s="118">
        <v>0.016859746000000002</v>
      </c>
      <c r="D28" s="118">
        <v>0.016243148000000002</v>
      </c>
      <c r="E28" s="118">
        <v>0.016433367</v>
      </c>
      <c r="F28" s="153">
        <v>-0.023327434999999997</v>
      </c>
      <c r="G28" s="159">
        <v>0.010996900581794065</v>
      </c>
    </row>
    <row r="29" spans="1:7" ht="13.5" thickBot="1">
      <c r="A29" s="141" t="s">
        <v>116</v>
      </c>
      <c r="B29" s="136">
        <v>-0.0035536324000000003</v>
      </c>
      <c r="C29" s="120">
        <v>-0.00557539903</v>
      </c>
      <c r="D29" s="120">
        <v>-0.0019872975300000003</v>
      </c>
      <c r="E29" s="120">
        <v>0.00542833288</v>
      </c>
      <c r="F29" s="156">
        <v>0.0016385348000000001</v>
      </c>
      <c r="G29" s="161">
        <v>-0.0008070316753691997</v>
      </c>
    </row>
    <row r="30" spans="1:7" ht="13.5" thickTop="1">
      <c r="A30" s="142" t="s">
        <v>117</v>
      </c>
      <c r="B30" s="137">
        <v>0.2793306886003584</v>
      </c>
      <c r="C30" s="126">
        <v>0.4646969069802234</v>
      </c>
      <c r="D30" s="126">
        <v>0.42809229275621585</v>
      </c>
      <c r="E30" s="126">
        <v>0.32688726281914576</v>
      </c>
      <c r="F30" s="122">
        <v>0.4145001066339019</v>
      </c>
      <c r="G30" s="162" t="s">
        <v>128</v>
      </c>
    </row>
    <row r="31" spans="1:7" ht="13.5" thickBot="1">
      <c r="A31" s="143" t="s">
        <v>118</v>
      </c>
      <c r="B31" s="132">
        <v>18.685914</v>
      </c>
      <c r="C31" s="123">
        <v>18.768311</v>
      </c>
      <c r="D31" s="123">
        <v>18.872071</v>
      </c>
      <c r="E31" s="123">
        <v>18.988038</v>
      </c>
      <c r="F31" s="124">
        <v>19.122315</v>
      </c>
      <c r="G31" s="164">
        <v>-208.95</v>
      </c>
    </row>
    <row r="32" spans="1:7" ht="15.75" thickBot="1" thickTop="1">
      <c r="A32" s="144" t="s">
        <v>119</v>
      </c>
      <c r="B32" s="138">
        <v>0.16949999332427979</v>
      </c>
      <c r="C32" s="127">
        <v>-0.23650000244379044</v>
      </c>
      <c r="D32" s="127">
        <v>0.22899999469518661</v>
      </c>
      <c r="E32" s="127">
        <v>-0.39150001108646393</v>
      </c>
      <c r="F32" s="125">
        <v>0.3229999989271164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4.16015625" style="165" bestFit="1" customWidth="1"/>
    <col min="2" max="3" width="15.33203125" style="165" bestFit="1" customWidth="1"/>
    <col min="4" max="4" width="16" style="165" bestFit="1" customWidth="1"/>
    <col min="5" max="5" width="22.16015625" style="165" bestFit="1" customWidth="1"/>
    <col min="6" max="7" width="14.83203125" style="165" bestFit="1" customWidth="1"/>
    <col min="8" max="8" width="14.16015625" style="165" bestFit="1" customWidth="1"/>
    <col min="9" max="9" width="14.83203125" style="165" bestFit="1" customWidth="1"/>
    <col min="10" max="10" width="8.160156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28</v>
      </c>
    </row>
    <row r="3" spans="1:7" ht="12.75">
      <c r="A3" s="165" t="s">
        <v>133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134</v>
      </c>
    </row>
    <row r="4" spans="1:7" ht="12.75">
      <c r="A4" s="165" t="s">
        <v>135</v>
      </c>
      <c r="B4" s="165">
        <f>0.002244*1.0033</f>
        <v>0.0022514052000000002</v>
      </c>
      <c r="C4" s="165">
        <f>0.003737*1.0033</f>
        <v>0.0037493321000000002</v>
      </c>
      <c r="D4" s="165">
        <f>0.003736*1.0033</f>
        <v>0.0037483288000000003</v>
      </c>
      <c r="E4" s="165">
        <f>0.003737*1.0033</f>
        <v>0.0037493321000000002</v>
      </c>
      <c r="F4" s="165">
        <f>0.002081*1.0033</f>
        <v>0.0020878673000000003</v>
      </c>
      <c r="G4" s="165">
        <f>0.01165*1.0033</f>
        <v>0.011688445000000002</v>
      </c>
    </row>
    <row r="5" spans="1:7" ht="12.75">
      <c r="A5" s="165" t="s">
        <v>136</v>
      </c>
      <c r="B5" s="165">
        <v>1.646765</v>
      </c>
      <c r="C5" s="165">
        <v>-1.444634</v>
      </c>
      <c r="D5" s="165">
        <v>-0.425717</v>
      </c>
      <c r="E5" s="165">
        <v>0.902041</v>
      </c>
      <c r="F5" s="165">
        <v>-0.047277</v>
      </c>
      <c r="G5" s="165">
        <v>6.820077</v>
      </c>
    </row>
    <row r="6" spans="1:7" ht="12.75">
      <c r="A6" s="165" t="s">
        <v>137</v>
      </c>
      <c r="B6" s="166">
        <v>41.21038</v>
      </c>
      <c r="C6" s="166">
        <v>-21.7158</v>
      </c>
      <c r="D6" s="166">
        <v>60.49452</v>
      </c>
      <c r="E6" s="166">
        <v>-4.810585</v>
      </c>
      <c r="F6" s="166">
        <v>-105.4162</v>
      </c>
      <c r="G6" s="166">
        <v>0.0003846202</v>
      </c>
    </row>
    <row r="7" spans="1:7" ht="12.75">
      <c r="A7" s="165" t="s">
        <v>138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1.803162</v>
      </c>
      <c r="C8" s="166">
        <v>1.33536</v>
      </c>
      <c r="D8" s="166">
        <v>-0.6490675</v>
      </c>
      <c r="E8" s="166">
        <v>-3.234846</v>
      </c>
      <c r="F8" s="166">
        <v>-0.4993201</v>
      </c>
      <c r="G8" s="166">
        <v>-0.4194095</v>
      </c>
    </row>
    <row r="9" spans="1:7" ht="12.75">
      <c r="A9" s="165" t="s">
        <v>93</v>
      </c>
      <c r="B9" s="166">
        <v>-1.042982</v>
      </c>
      <c r="C9" s="166">
        <v>-0.5625208</v>
      </c>
      <c r="D9" s="166">
        <v>-0.1796936</v>
      </c>
      <c r="E9" s="166">
        <v>-0.5091143</v>
      </c>
      <c r="F9" s="166">
        <v>-1.167794</v>
      </c>
      <c r="G9" s="166">
        <v>-0.6081041</v>
      </c>
    </row>
    <row r="10" spans="1:7" ht="12.75">
      <c r="A10" s="165" t="s">
        <v>95</v>
      </c>
      <c r="B10" s="166">
        <v>0.2009966</v>
      </c>
      <c r="C10" s="166">
        <v>-0.1889383</v>
      </c>
      <c r="D10" s="166">
        <v>0.6548229</v>
      </c>
      <c r="E10" s="166">
        <v>1.213114</v>
      </c>
      <c r="F10" s="166">
        <v>-2.24253</v>
      </c>
      <c r="G10" s="166">
        <v>0.1325032</v>
      </c>
    </row>
    <row r="11" spans="1:7" ht="12.75">
      <c r="A11" s="165" t="s">
        <v>139</v>
      </c>
      <c r="B11" s="166">
        <v>2.287572</v>
      </c>
      <c r="C11" s="166">
        <v>1.622425</v>
      </c>
      <c r="D11" s="166">
        <v>1.780298</v>
      </c>
      <c r="E11" s="166">
        <v>1.605539</v>
      </c>
      <c r="F11" s="166">
        <v>13.05407</v>
      </c>
      <c r="G11" s="166">
        <v>3.2837</v>
      </c>
    </row>
    <row r="12" spans="1:7" ht="12.75">
      <c r="A12" s="165" t="s">
        <v>99</v>
      </c>
      <c r="B12" s="166">
        <v>-0.1252736</v>
      </c>
      <c r="C12" s="166">
        <v>0.05036673</v>
      </c>
      <c r="D12" s="166">
        <v>0.09207772</v>
      </c>
      <c r="E12" s="166">
        <v>-0.08217644</v>
      </c>
      <c r="F12" s="166">
        <v>0.2700841</v>
      </c>
      <c r="G12" s="166">
        <v>0.03256603</v>
      </c>
    </row>
    <row r="13" spans="1:7" ht="12.75">
      <c r="A13" s="165" t="s">
        <v>101</v>
      </c>
      <c r="B13" s="166">
        <v>-0.062436</v>
      </c>
      <c r="C13" s="166">
        <v>-0.02234436</v>
      </c>
      <c r="D13" s="166">
        <v>0.1432973</v>
      </c>
      <c r="E13" s="166">
        <v>0.04965807</v>
      </c>
      <c r="F13" s="166">
        <v>-0.001640215</v>
      </c>
      <c r="G13" s="166">
        <v>0.03178984</v>
      </c>
    </row>
    <row r="14" spans="1:7" ht="12.75">
      <c r="A14" s="165" t="s">
        <v>103</v>
      </c>
      <c r="B14" s="166">
        <v>-0.08690429</v>
      </c>
      <c r="C14" s="166">
        <v>0.02652633</v>
      </c>
      <c r="D14" s="166">
        <v>0.1101106</v>
      </c>
      <c r="E14" s="166">
        <v>0.03683646</v>
      </c>
      <c r="F14" s="166">
        <v>0.06401067</v>
      </c>
      <c r="G14" s="166">
        <v>0.0377389</v>
      </c>
    </row>
    <row r="15" spans="1:7" ht="12.75">
      <c r="A15" s="165" t="s">
        <v>105</v>
      </c>
      <c r="B15" s="166">
        <v>-0.4564606</v>
      </c>
      <c r="C15" s="166">
        <v>-0.2060524</v>
      </c>
      <c r="D15" s="166">
        <v>-0.1854446</v>
      </c>
      <c r="E15" s="166">
        <v>-0.2116616</v>
      </c>
      <c r="F15" s="166">
        <v>-0.5512954</v>
      </c>
      <c r="G15" s="166">
        <v>-0.2848722</v>
      </c>
    </row>
    <row r="16" spans="1:7" ht="12.75">
      <c r="A16" s="165" t="s">
        <v>107</v>
      </c>
      <c r="B16" s="166">
        <v>0.009431098</v>
      </c>
      <c r="C16" s="166">
        <v>-0.006094785</v>
      </c>
      <c r="D16" s="166">
        <v>-0.01443449</v>
      </c>
      <c r="E16" s="166">
        <v>0.0166257</v>
      </c>
      <c r="F16" s="166">
        <v>-0.01375461</v>
      </c>
      <c r="G16" s="166">
        <v>-0.001417668</v>
      </c>
    </row>
    <row r="17" spans="1:7" ht="12.75">
      <c r="A17" s="165" t="s">
        <v>109</v>
      </c>
      <c r="B17" s="166">
        <v>-0.002652176</v>
      </c>
      <c r="C17" s="166">
        <v>-0.00275924</v>
      </c>
      <c r="D17" s="166">
        <v>-0.02349747</v>
      </c>
      <c r="E17" s="166">
        <v>-0.01928547</v>
      </c>
      <c r="F17" s="166">
        <v>-0.02601662</v>
      </c>
      <c r="G17" s="166">
        <v>-0.01482178</v>
      </c>
    </row>
    <row r="18" spans="1:7" ht="12.75">
      <c r="A18" s="165" t="s">
        <v>111</v>
      </c>
      <c r="B18" s="166">
        <v>0.00371572</v>
      </c>
      <c r="C18" s="166">
        <v>0.03222816</v>
      </c>
      <c r="D18" s="166">
        <v>0.0005718727</v>
      </c>
      <c r="E18" s="166">
        <v>0.01704419</v>
      </c>
      <c r="F18" s="166">
        <v>0.00781128</v>
      </c>
      <c r="G18" s="166">
        <v>0.01357203</v>
      </c>
    </row>
    <row r="19" spans="1:7" ht="12.75">
      <c r="A19" s="165" t="s">
        <v>113</v>
      </c>
      <c r="B19" s="166">
        <v>-0.2035211</v>
      </c>
      <c r="C19" s="166">
        <v>-0.1804919</v>
      </c>
      <c r="D19" s="166">
        <v>-0.1858276</v>
      </c>
      <c r="E19" s="166">
        <v>-0.1829255</v>
      </c>
      <c r="F19" s="166">
        <v>-0.1429338</v>
      </c>
      <c r="G19" s="166">
        <v>-0.180657</v>
      </c>
    </row>
    <row r="20" spans="1:7" ht="12.75">
      <c r="A20" s="165" t="s">
        <v>115</v>
      </c>
      <c r="B20" s="166">
        <v>0.002011852</v>
      </c>
      <c r="C20" s="166">
        <v>-7.256228E-05</v>
      </c>
      <c r="D20" s="166">
        <v>-0.005370948</v>
      </c>
      <c r="E20" s="166">
        <v>-0.00540647</v>
      </c>
      <c r="F20" s="166">
        <v>0.003797427</v>
      </c>
      <c r="G20" s="166">
        <v>-0.00181024</v>
      </c>
    </row>
    <row r="21" spans="1:7" ht="12.75">
      <c r="A21" s="165" t="s">
        <v>140</v>
      </c>
      <c r="B21" s="166">
        <v>50.00329</v>
      </c>
      <c r="C21" s="166">
        <v>44.09322</v>
      </c>
      <c r="D21" s="166">
        <v>75.45901</v>
      </c>
      <c r="E21" s="166">
        <v>-67.69273</v>
      </c>
      <c r="F21" s="166">
        <v>-147.0146</v>
      </c>
      <c r="G21" s="166">
        <v>-0.0002041761</v>
      </c>
    </row>
    <row r="22" spans="1:7" ht="12.75">
      <c r="A22" s="165" t="s">
        <v>141</v>
      </c>
      <c r="B22" s="166">
        <v>32.93542</v>
      </c>
      <c r="C22" s="166">
        <v>-28.89275</v>
      </c>
      <c r="D22" s="166">
        <v>-8.514348</v>
      </c>
      <c r="E22" s="166">
        <v>18.04083</v>
      </c>
      <c r="F22" s="166">
        <v>-0.9455367</v>
      </c>
      <c r="G22" s="166">
        <v>0</v>
      </c>
    </row>
    <row r="23" spans="1:7" ht="12.75">
      <c r="A23" s="165" t="s">
        <v>92</v>
      </c>
      <c r="B23" s="166">
        <v>-1.461216</v>
      </c>
      <c r="C23" s="166">
        <v>-1.525845</v>
      </c>
      <c r="D23" s="166">
        <v>-1.668674</v>
      </c>
      <c r="E23" s="166">
        <v>-0.6798511</v>
      </c>
      <c r="F23" s="166">
        <v>5.11628</v>
      </c>
      <c r="G23" s="166">
        <v>-0.4576304</v>
      </c>
    </row>
    <row r="24" spans="1:7" ht="12.75">
      <c r="A24" s="165" t="s">
        <v>94</v>
      </c>
      <c r="B24" s="166">
        <v>-1.373347</v>
      </c>
      <c r="C24" s="166">
        <v>1.650705</v>
      </c>
      <c r="D24" s="166">
        <v>-1.636249</v>
      </c>
      <c r="E24" s="166">
        <v>-3.310425</v>
      </c>
      <c r="F24" s="166">
        <v>1.453439</v>
      </c>
      <c r="G24" s="166">
        <v>-0.7965128</v>
      </c>
    </row>
    <row r="25" spans="1:7" ht="12.75">
      <c r="A25" s="165" t="s">
        <v>96</v>
      </c>
      <c r="B25" s="166">
        <v>-0.6395981</v>
      </c>
      <c r="C25" s="166">
        <v>-0.3085746</v>
      </c>
      <c r="D25" s="166">
        <v>-0.5530407</v>
      </c>
      <c r="E25" s="166">
        <v>0.5132633</v>
      </c>
      <c r="F25" s="166">
        <v>-3.11027</v>
      </c>
      <c r="G25" s="166">
        <v>-0.5927763</v>
      </c>
    </row>
    <row r="26" spans="1:7" ht="12.75">
      <c r="A26" s="165" t="s">
        <v>98</v>
      </c>
      <c r="B26" s="166">
        <v>0.52754</v>
      </c>
      <c r="C26" s="166">
        <v>0.1047802</v>
      </c>
      <c r="D26" s="166">
        <v>0.2592281</v>
      </c>
      <c r="E26" s="166">
        <v>-0.1022356</v>
      </c>
      <c r="F26" s="166">
        <v>0.5113308</v>
      </c>
      <c r="G26" s="166">
        <v>0.2076854</v>
      </c>
    </row>
    <row r="27" spans="1:7" ht="12.75">
      <c r="A27" s="165" t="s">
        <v>100</v>
      </c>
      <c r="B27" s="166">
        <v>0.2382069</v>
      </c>
      <c r="C27" s="166">
        <v>0.1458266</v>
      </c>
      <c r="D27" s="166">
        <v>0.05776818</v>
      </c>
      <c r="E27" s="166">
        <v>-0.03972027</v>
      </c>
      <c r="F27" s="166">
        <v>0.26699</v>
      </c>
      <c r="G27" s="166">
        <v>0.1095935</v>
      </c>
    </row>
    <row r="28" spans="1:7" ht="12.75">
      <c r="A28" s="165" t="s">
        <v>102</v>
      </c>
      <c r="B28" s="166">
        <v>0.07583876</v>
      </c>
      <c r="C28" s="166">
        <v>0.3469103</v>
      </c>
      <c r="D28" s="166">
        <v>-0.1968158</v>
      </c>
      <c r="E28" s="166">
        <v>-0.231213</v>
      </c>
      <c r="F28" s="166">
        <v>-0.01751316</v>
      </c>
      <c r="G28" s="166">
        <v>-0.01089348</v>
      </c>
    </row>
    <row r="29" spans="1:7" ht="12.75">
      <c r="A29" s="165" t="s">
        <v>104</v>
      </c>
      <c r="B29" s="166">
        <v>-0.04848345</v>
      </c>
      <c r="C29" s="166">
        <v>-0.06639615</v>
      </c>
      <c r="D29" s="166">
        <v>-0.1084632</v>
      </c>
      <c r="E29" s="166">
        <v>0.1464105</v>
      </c>
      <c r="F29" s="166">
        <v>-0.0482769</v>
      </c>
      <c r="G29" s="166">
        <v>-0.02030418</v>
      </c>
    </row>
    <row r="30" spans="1:7" ht="12.75">
      <c r="A30" s="165" t="s">
        <v>106</v>
      </c>
      <c r="B30" s="166">
        <v>0.09706508</v>
      </c>
      <c r="C30" s="166">
        <v>0.06181886</v>
      </c>
      <c r="D30" s="166">
        <v>0.05901279</v>
      </c>
      <c r="E30" s="166">
        <v>0.04313917</v>
      </c>
      <c r="F30" s="166">
        <v>0.256141</v>
      </c>
      <c r="G30" s="166">
        <v>0.08776886</v>
      </c>
    </row>
    <row r="31" spans="1:7" ht="12.75">
      <c r="A31" s="165" t="s">
        <v>108</v>
      </c>
      <c r="B31" s="166">
        <v>0.02545397</v>
      </c>
      <c r="C31" s="166">
        <v>-0.00488579</v>
      </c>
      <c r="D31" s="166">
        <v>-0.002869409</v>
      </c>
      <c r="E31" s="166">
        <v>0.03017189</v>
      </c>
      <c r="F31" s="166">
        <v>0.03168301</v>
      </c>
      <c r="G31" s="166">
        <v>0.01331446</v>
      </c>
    </row>
    <row r="32" spans="1:7" ht="12.75">
      <c r="A32" s="165" t="s">
        <v>110</v>
      </c>
      <c r="B32" s="166">
        <v>0.03752019</v>
      </c>
      <c r="C32" s="166">
        <v>0.04738103</v>
      </c>
      <c r="D32" s="166">
        <v>-0.02008182</v>
      </c>
      <c r="E32" s="166">
        <v>-0.00811297</v>
      </c>
      <c r="F32" s="166">
        <v>-0.001215802</v>
      </c>
      <c r="G32" s="166">
        <v>0.009873921</v>
      </c>
    </row>
    <row r="33" spans="1:7" ht="12.75">
      <c r="A33" s="165" t="s">
        <v>112</v>
      </c>
      <c r="B33" s="166">
        <v>0.05182962</v>
      </c>
      <c r="C33" s="166">
        <v>0.03948999</v>
      </c>
      <c r="D33" s="166">
        <v>0.03099225</v>
      </c>
      <c r="E33" s="166">
        <v>0.06125455</v>
      </c>
      <c r="F33" s="166">
        <v>0.0650676</v>
      </c>
      <c r="G33" s="166">
        <v>0.04789136</v>
      </c>
    </row>
    <row r="34" spans="1:7" ht="12.75">
      <c r="A34" s="165" t="s">
        <v>114</v>
      </c>
      <c r="B34" s="166">
        <v>0.01064124</v>
      </c>
      <c r="C34" s="166">
        <v>0.02055929</v>
      </c>
      <c r="D34" s="166">
        <v>0.01733635</v>
      </c>
      <c r="E34" s="166">
        <v>0.0141836</v>
      </c>
      <c r="F34" s="166">
        <v>-0.02321116</v>
      </c>
      <c r="G34" s="166">
        <v>0.01095127</v>
      </c>
    </row>
    <row r="35" spans="1:7" ht="12.75">
      <c r="A35" s="165" t="s">
        <v>116</v>
      </c>
      <c r="B35" s="166">
        <v>-0.003505809</v>
      </c>
      <c r="C35" s="166">
        <v>-0.005575956</v>
      </c>
      <c r="D35" s="166">
        <v>-0.001952778</v>
      </c>
      <c r="E35" s="166">
        <v>0.005356219</v>
      </c>
      <c r="F35" s="166">
        <v>0.001635754</v>
      </c>
      <c r="G35" s="166">
        <v>-0.0008097737</v>
      </c>
    </row>
    <row r="36" spans="1:6" ht="12.75">
      <c r="A36" s="165" t="s">
        <v>142</v>
      </c>
      <c r="B36" s="166">
        <v>19.12232</v>
      </c>
      <c r="C36" s="166">
        <v>19.13452</v>
      </c>
      <c r="D36" s="166">
        <v>19.15894</v>
      </c>
      <c r="E36" s="166">
        <v>19.16809</v>
      </c>
      <c r="F36" s="166">
        <v>19.19251</v>
      </c>
    </row>
    <row r="37" spans="1:6" ht="12.75">
      <c r="A37" s="165" t="s">
        <v>143</v>
      </c>
      <c r="B37" s="166">
        <v>0.3204346</v>
      </c>
      <c r="C37" s="166">
        <v>0.3138224</v>
      </c>
      <c r="D37" s="166">
        <v>0.3112793</v>
      </c>
      <c r="E37" s="166">
        <v>0.306193</v>
      </c>
      <c r="F37" s="166">
        <v>0.2995809</v>
      </c>
    </row>
    <row r="38" spans="1:7" ht="12.75">
      <c r="A38" s="165" t="s">
        <v>144</v>
      </c>
      <c r="B38" s="166">
        <v>-7.033685E-05</v>
      </c>
      <c r="C38" s="166">
        <v>3.713312E-05</v>
      </c>
      <c r="D38" s="166">
        <v>-0.0001027314</v>
      </c>
      <c r="E38" s="166">
        <v>0</v>
      </c>
      <c r="F38" s="166">
        <v>0.0001791839</v>
      </c>
      <c r="G38" s="166">
        <v>0.0002082103</v>
      </c>
    </row>
    <row r="39" spans="1:7" ht="12.75">
      <c r="A39" s="165" t="s">
        <v>145</v>
      </c>
      <c r="B39" s="166">
        <v>-8.477393E-05</v>
      </c>
      <c r="C39" s="166">
        <v>-7.485119E-05</v>
      </c>
      <c r="D39" s="166">
        <v>-0.0001283678</v>
      </c>
      <c r="E39" s="166">
        <v>0.0001150625</v>
      </c>
      <c r="F39" s="166">
        <v>0.0002499418</v>
      </c>
      <c r="G39" s="166">
        <v>0.0005360725</v>
      </c>
    </row>
    <row r="40" spans="2:5" ht="12.75">
      <c r="B40" s="165" t="s">
        <v>146</v>
      </c>
      <c r="C40" s="165" t="s">
        <v>147</v>
      </c>
      <c r="D40" s="165" t="s">
        <v>148</v>
      </c>
      <c r="E40" s="165">
        <v>3.117809</v>
      </c>
    </row>
    <row r="42" ht="12.75">
      <c r="A42" s="165" t="s">
        <v>149</v>
      </c>
    </row>
    <row r="43" spans="1:6" ht="12.75">
      <c r="A43" s="165" t="s">
        <v>150</v>
      </c>
      <c r="B43" s="165">
        <v>10</v>
      </c>
      <c r="C43" s="165">
        <v>10</v>
      </c>
      <c r="D43" s="165">
        <v>10</v>
      </c>
      <c r="E43" s="165">
        <v>10</v>
      </c>
      <c r="F43" s="165">
        <v>10</v>
      </c>
    </row>
    <row r="44" spans="1:10" ht="12.75">
      <c r="A44" s="165" t="s">
        <v>151</v>
      </c>
      <c r="B44" s="165">
        <v>12.515</v>
      </c>
      <c r="C44" s="165">
        <v>12.515</v>
      </c>
      <c r="D44" s="165">
        <v>12.515</v>
      </c>
      <c r="E44" s="165">
        <v>12.515</v>
      </c>
      <c r="F44" s="165">
        <v>12.515</v>
      </c>
      <c r="J44" s="165">
        <v>12.515</v>
      </c>
    </row>
    <row r="50" spans="1:7" ht="12.75">
      <c r="A50" s="165" t="s">
        <v>152</v>
      </c>
      <c r="B50" s="165">
        <f>-0.017/(B7*B7+B22*B22)*(B21*B22+B6*B7)</f>
        <v>-7.033685251747663E-05</v>
      </c>
      <c r="C50" s="165">
        <f>-0.017/(C7*C7+C22*C22)*(C21*C22+C6*C7)</f>
        <v>3.713312566097437E-05</v>
      </c>
      <c r="D50" s="165">
        <f>-0.017/(D7*D7+D22*D22)*(D21*D22+D6*D7)</f>
        <v>-0.00010273138719973417</v>
      </c>
      <c r="E50" s="165">
        <f>-0.017/(E7*E7+E22*E22)*(E21*E22+E6*E7)</f>
        <v>8.385576823141586E-06</v>
      </c>
      <c r="F50" s="165">
        <f>-0.017/(F7*F7+F22*F22)*(F21*F22+F6*F7)</f>
        <v>0.00017918390708906976</v>
      </c>
      <c r="G50" s="165">
        <f>(B50*B$4+C50*C$4+D50*D$4+E50*E$4+F50*F$4)/SUM(B$4:F$4)</f>
        <v>8.656209900682953E-08</v>
      </c>
    </row>
    <row r="51" spans="1:7" ht="12.75">
      <c r="A51" s="165" t="s">
        <v>153</v>
      </c>
      <c r="B51" s="165">
        <f>-0.017/(B7*B7+B22*B22)*(B21*B7-B6*B22)</f>
        <v>-8.477393562208589E-05</v>
      </c>
      <c r="C51" s="165">
        <f>-0.017/(C7*C7+C22*C22)*(C21*C7-C6*C22)</f>
        <v>-7.48511861883559E-05</v>
      </c>
      <c r="D51" s="165">
        <f>-0.017/(D7*D7+D22*D22)*(D21*D7-D6*D22)</f>
        <v>-0.00012836778607811417</v>
      </c>
      <c r="E51" s="165">
        <f>-0.017/(E7*E7+E22*E22)*(E21*E7-E6*E22)</f>
        <v>0.0001150625127234082</v>
      </c>
      <c r="F51" s="165">
        <f>-0.017/(F7*F7+F22*F22)*(F21*F7-F6*F22)</f>
        <v>0.00024994176249602026</v>
      </c>
      <c r="G51" s="165">
        <f>(B51*B$4+C51*C$4+D51*D$4+E51*E$4+F51*F$4)/SUM(B$4:F$4)</f>
        <v>3.757802973371157E-08</v>
      </c>
    </row>
    <row r="58" ht="12.75">
      <c r="A58" s="165" t="s">
        <v>155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157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160</v>
      </c>
      <c r="B62" s="165">
        <f>B7+(2/0.017)*(B8*B50-B23*B51)</f>
        <v>9999.970505674026</v>
      </c>
      <c r="C62" s="165">
        <f>C7+(2/0.017)*(C8*C50-C23*C51)</f>
        <v>9999.992397033235</v>
      </c>
      <c r="D62" s="165">
        <f>D7+(2/0.017)*(D8*D50-D23*D51)</f>
        <v>9999.982644190306</v>
      </c>
      <c r="E62" s="165">
        <f>E7+(2/0.017)*(E8*E50-E23*E51)</f>
        <v>10000.006011685435</v>
      </c>
      <c r="F62" s="165">
        <f>F7+(2/0.017)*(F8*F50-F23*F51)</f>
        <v>9999.83903033329</v>
      </c>
    </row>
    <row r="63" spans="1:6" ht="12.75">
      <c r="A63" s="165" t="s">
        <v>161</v>
      </c>
      <c r="B63" s="165">
        <f>B8+(3/0.017)*(B9*B50-B24*B51)</f>
        <v>1.795562477814282</v>
      </c>
      <c r="C63" s="165">
        <f>C8+(3/0.017)*(C9*C50-C24*C51)</f>
        <v>1.3534780714841892</v>
      </c>
      <c r="D63" s="165">
        <f>D8+(3/0.017)*(D9*D50-D24*D51)</f>
        <v>-0.6828759980241672</v>
      </c>
      <c r="E63" s="165">
        <f>E8+(3/0.017)*(E9*E50-E24*E51)</f>
        <v>-3.168380717363298</v>
      </c>
      <c r="F63" s="165">
        <f>F8+(3/0.017)*(F9*F50-F24*F51)</f>
        <v>-0.6003539229886399</v>
      </c>
    </row>
    <row r="64" spans="1:6" ht="12.75">
      <c r="A64" s="165" t="s">
        <v>162</v>
      </c>
      <c r="B64" s="165">
        <f>B9+(4/0.017)*(B10*B50-B25*B51)</f>
        <v>-1.0590664038503819</v>
      </c>
      <c r="C64" s="165">
        <f>C9+(4/0.017)*(C10*C50-C25*C51)</f>
        <v>-0.5696062222290985</v>
      </c>
      <c r="D64" s="165">
        <f>D9+(4/0.017)*(D10*D50-D25*D51)</f>
        <v>-0.21222618238993962</v>
      </c>
      <c r="E64" s="165">
        <f>E9+(4/0.017)*(E10*E50-E25*E51)</f>
        <v>-0.5206165833751718</v>
      </c>
      <c r="F64" s="165">
        <f>F9+(4/0.017)*(F10*F50-F25*F51)</f>
        <v>-1.0794266874178717</v>
      </c>
    </row>
    <row r="65" spans="1:6" ht="12.75">
      <c r="A65" s="165" t="s">
        <v>163</v>
      </c>
      <c r="B65" s="165">
        <f>B10+(5/0.017)*(B11*B50-B26*B51)</f>
        <v>0.16682631400322534</v>
      </c>
      <c r="C65" s="165">
        <f>C10+(5/0.017)*(C11*C50-C26*C51)</f>
        <v>-0.16891223127660016</v>
      </c>
      <c r="D65" s="165">
        <f>D10+(5/0.017)*(D11*D50-D26*D51)</f>
        <v>0.610818210034507</v>
      </c>
      <c r="E65" s="165">
        <f>E10+(5/0.017)*(E11*E50-E26*E51)</f>
        <v>1.2205336634273045</v>
      </c>
      <c r="F65" s="165">
        <f>F10+(5/0.017)*(F11*F50-F26*F51)</f>
        <v>-1.5921546045165549</v>
      </c>
    </row>
    <row r="66" spans="1:6" ht="12.75">
      <c r="A66" s="165" t="s">
        <v>164</v>
      </c>
      <c r="B66" s="165">
        <f>B11+(6/0.017)*(B12*B50-B27*B51)</f>
        <v>2.297809089576307</v>
      </c>
      <c r="C66" s="165">
        <f>C11+(6/0.017)*(C12*C50-C27*C51)</f>
        <v>1.626937553447778</v>
      </c>
      <c r="D66" s="165">
        <f>D11+(6/0.017)*(D12*D50-D27*D51)</f>
        <v>1.7795766946352611</v>
      </c>
      <c r="E66" s="165">
        <f>E11+(6/0.017)*(E12*E50-E27*E51)</f>
        <v>1.6069088413723225</v>
      </c>
      <c r="F66" s="165">
        <f>F11+(6/0.017)*(F12*F50-F27*F51)</f>
        <v>13.047598037568878</v>
      </c>
    </row>
    <row r="67" spans="1:6" ht="12.75">
      <c r="A67" s="165" t="s">
        <v>165</v>
      </c>
      <c r="B67" s="165">
        <f>B12+(7/0.017)*(B13*B50-B28*B51)</f>
        <v>-0.12081801687224943</v>
      </c>
      <c r="C67" s="165">
        <f>C12+(7/0.017)*(C13*C50-C28*C51)</f>
        <v>0.060717231217520616</v>
      </c>
      <c r="D67" s="165">
        <f>D12+(7/0.017)*(D13*D50-D28*D51)</f>
        <v>0.0756129216202832</v>
      </c>
      <c r="E67" s="165">
        <f>E12+(7/0.017)*(E13*E50-E28*E51)</f>
        <v>-0.07105040928198005</v>
      </c>
      <c r="F67" s="165">
        <f>F12+(7/0.017)*(F13*F50-F28*F51)</f>
        <v>0.2717654876244565</v>
      </c>
    </row>
    <row r="68" spans="1:6" ht="12.75">
      <c r="A68" s="165" t="s">
        <v>166</v>
      </c>
      <c r="B68" s="165">
        <f>B13+(8/0.017)*(B14*B50-B29*B51)</f>
        <v>-0.06149367465419793</v>
      </c>
      <c r="C68" s="165">
        <f>C13+(8/0.017)*(C14*C50-C29*C51)</f>
        <v>-0.02421957178382378</v>
      </c>
      <c r="D68" s="165">
        <f>D13+(8/0.017)*(D14*D50-D29*D51)</f>
        <v>0.13142200798195633</v>
      </c>
      <c r="E68" s="165">
        <f>E13+(8/0.017)*(E14*E50-E29*E51)</f>
        <v>0.04187573350406213</v>
      </c>
      <c r="F68" s="165">
        <f>F13+(8/0.017)*(F14*F50-F29*F51)</f>
        <v>0.009435594609333282</v>
      </c>
    </row>
    <row r="69" spans="1:6" ht="12.75">
      <c r="A69" s="165" t="s">
        <v>167</v>
      </c>
      <c r="B69" s="165">
        <f>B14+(9/0.017)*(B15*B50-B30*B51)</f>
        <v>-0.06555068313483509</v>
      </c>
      <c r="C69" s="165">
        <f>C14+(9/0.017)*(C15*C50-C30*C51)</f>
        <v>0.024925306943576413</v>
      </c>
      <c r="D69" s="165">
        <f>D14+(9/0.017)*(D15*D50-D30*D51)</f>
        <v>0.12420688822844897</v>
      </c>
      <c r="E69" s="165">
        <f>E14+(9/0.017)*(E15*E50-E30*E51)</f>
        <v>0.03326896275654106</v>
      </c>
      <c r="F69" s="165">
        <f>F14+(9/0.017)*(F15*F50-F30*F51)</f>
        <v>-0.02217946943985423</v>
      </c>
    </row>
    <row r="70" spans="1:6" ht="12.75">
      <c r="A70" s="165" t="s">
        <v>168</v>
      </c>
      <c r="B70" s="165">
        <f>B15+(10/0.017)*(B16*B50-B31*B51)</f>
        <v>-0.4555814944323514</v>
      </c>
      <c r="C70" s="165">
        <f>C15+(10/0.017)*(C16*C50-C31*C51)</f>
        <v>-0.20640065034955812</v>
      </c>
      <c r="D70" s="165">
        <f>D15+(10/0.017)*(D16*D50-D31*D51)</f>
        <v>-0.1847889908820364</v>
      </c>
      <c r="E70" s="165">
        <f>E15+(10/0.017)*(E16*E50-E31*E51)</f>
        <v>-0.2136217396426034</v>
      </c>
      <c r="F70" s="165">
        <f>F15+(10/0.017)*(F16*F50-F31*F51)</f>
        <v>-0.5574033483063914</v>
      </c>
    </row>
    <row r="71" spans="1:6" ht="12.75">
      <c r="A71" s="165" t="s">
        <v>169</v>
      </c>
      <c r="B71" s="165">
        <f>B16+(11/0.017)*(B17*B50-B32*B51)</f>
        <v>0.011609926160074061</v>
      </c>
      <c r="C71" s="165">
        <f>C16+(11/0.017)*(C17*C50-C32*C51)</f>
        <v>-0.003866270998855872</v>
      </c>
      <c r="D71" s="165">
        <f>D16+(11/0.017)*(D17*D50-D32*D51)</f>
        <v>-0.014540563055022684</v>
      </c>
      <c r="E71" s="165">
        <f>E16+(11/0.017)*(E17*E50-E32*E51)</f>
        <v>0.01712508636232568</v>
      </c>
      <c r="F71" s="165">
        <f>F16+(11/0.017)*(F17*F50-F32*F51)</f>
        <v>-0.016574414658081172</v>
      </c>
    </row>
    <row r="72" spans="1:6" ht="12.75">
      <c r="A72" s="165" t="s">
        <v>170</v>
      </c>
      <c r="B72" s="165">
        <f>B17+(12/0.017)*(B18*B50-B33*B51)</f>
        <v>0.0002648466961606617</v>
      </c>
      <c r="C72" s="165">
        <f>C17+(12/0.017)*(C18*C50-C33*C51)</f>
        <v>0.00017201052411880023</v>
      </c>
      <c r="D72" s="165">
        <f>D17+(12/0.017)*(D18*D50-D33*D51)</f>
        <v>-0.02073065312307757</v>
      </c>
      <c r="E72" s="165">
        <f>E17+(12/0.017)*(E18*E50-E33*E51)</f>
        <v>-0.024159712640547122</v>
      </c>
      <c r="F72" s="165">
        <f>F17+(12/0.017)*(F18*F50-F33*F51)</f>
        <v>-0.03650847055690777</v>
      </c>
    </row>
    <row r="73" spans="1:6" ht="12.75">
      <c r="A73" s="165" t="s">
        <v>171</v>
      </c>
      <c r="B73" s="165">
        <f>B18+(13/0.017)*(B19*B50-B34*B51)</f>
        <v>0.015352351415571713</v>
      </c>
      <c r="C73" s="165">
        <f>C18+(13/0.017)*(C19*C50-C34*C51)</f>
        <v>0.028279722642507703</v>
      </c>
      <c r="D73" s="165">
        <f>D18+(13/0.017)*(D19*D50-D34*D51)</f>
        <v>0.01687215669707319</v>
      </c>
      <c r="E73" s="165">
        <f>E18+(13/0.017)*(E19*E50-E34*E51)</f>
        <v>0.014623179743992404</v>
      </c>
      <c r="F73" s="165">
        <f>F18+(13/0.017)*(F19*F50-F34*F51)</f>
        <v>-0.007337542381672776</v>
      </c>
    </row>
    <row r="74" spans="1:6" ht="12.75">
      <c r="A74" s="165" t="s">
        <v>172</v>
      </c>
      <c r="B74" s="165">
        <f>B19+(14/0.017)*(B20*B50-B35*B51)</f>
        <v>-0.2038823894055485</v>
      </c>
      <c r="C74" s="165">
        <f>C19+(14/0.017)*(C20*C50-C35*C51)</f>
        <v>-0.18083783290529049</v>
      </c>
      <c r="D74" s="165">
        <f>D19+(14/0.017)*(D20*D50-D35*D51)</f>
        <v>-0.18557964258230716</v>
      </c>
      <c r="E74" s="165">
        <f>E19+(14/0.017)*(E20*E50-E35*E51)</f>
        <v>-0.18347037702406435</v>
      </c>
      <c r="F74" s="165">
        <f>F19+(14/0.017)*(F20*F50-F35*F51)</f>
        <v>-0.14271013388437304</v>
      </c>
    </row>
    <row r="75" spans="1:6" ht="12.75">
      <c r="A75" s="165" t="s">
        <v>173</v>
      </c>
      <c r="B75" s="166">
        <f>B20</f>
        <v>0.002011852</v>
      </c>
      <c r="C75" s="166">
        <f>C20</f>
        <v>-7.256228E-05</v>
      </c>
      <c r="D75" s="166">
        <f>D20</f>
        <v>-0.005370948</v>
      </c>
      <c r="E75" s="166">
        <f>E20</f>
        <v>-0.00540647</v>
      </c>
      <c r="F75" s="166">
        <f>F20</f>
        <v>0.003797427</v>
      </c>
    </row>
    <row r="78" ht="12.75">
      <c r="A78" s="165" t="s">
        <v>155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174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175</v>
      </c>
      <c r="B82" s="165">
        <f>B22+(2/0.017)*(B8*B51+B23*B50)</f>
        <v>32.92952778764518</v>
      </c>
      <c r="C82" s="165">
        <f>C22+(2/0.017)*(C8*C51+C23*C50)</f>
        <v>-28.911175020483842</v>
      </c>
      <c r="D82" s="165">
        <f>D22+(2/0.017)*(D8*D51+D23*D50)</f>
        <v>-8.484378052612426</v>
      </c>
      <c r="E82" s="165">
        <f>E22+(2/0.017)*(E8*E51+E23*E50)</f>
        <v>17.99636994674581</v>
      </c>
      <c r="F82" s="165">
        <f>F22+(2/0.017)*(F8*F51+F23*F50)</f>
        <v>-0.852365630080238</v>
      </c>
    </row>
    <row r="83" spans="1:6" ht="12.75">
      <c r="A83" s="165" t="s">
        <v>176</v>
      </c>
      <c r="B83" s="165">
        <f>B23+(3/0.017)*(B9*B51+B24*B50)</f>
        <v>-1.4285663657087095</v>
      </c>
      <c r="C83" s="165">
        <f>C23+(3/0.017)*(C9*C51+C24*C50)</f>
        <v>-1.5075977320006195</v>
      </c>
      <c r="D83" s="165">
        <f>D23+(3/0.017)*(D9*D51+D24*D50)</f>
        <v>-1.6349397060273088</v>
      </c>
      <c r="E83" s="165">
        <f>E23+(3/0.017)*(E9*E51+E24*E50)</f>
        <v>-0.6950875341957943</v>
      </c>
      <c r="F83" s="165">
        <f>F23+(3/0.017)*(F9*F51+F24*F50)</f>
        <v>5.110730421437062</v>
      </c>
    </row>
    <row r="84" spans="1:6" ht="12.75">
      <c r="A84" s="165" t="s">
        <v>177</v>
      </c>
      <c r="B84" s="165">
        <f>B24+(4/0.017)*(B10*B51+B25*B50)</f>
        <v>-1.3667709895525884</v>
      </c>
      <c r="C84" s="165">
        <f>C24+(4/0.017)*(C10*C51+C25*C50)</f>
        <v>1.6513365097585475</v>
      </c>
      <c r="D84" s="165">
        <f>D24+(4/0.017)*(D10*D51+D25*D50)</f>
        <v>-1.6426592418017267</v>
      </c>
      <c r="E84" s="165">
        <f>E24+(4/0.017)*(E10*E51+E25*E50)</f>
        <v>-3.2765690108488013</v>
      </c>
      <c r="F84" s="165">
        <f>F24+(4/0.017)*(F10*F51+F25*F50)</f>
        <v>1.1904243573289126</v>
      </c>
    </row>
    <row r="85" spans="1:6" ht="12.75">
      <c r="A85" s="165" t="s">
        <v>178</v>
      </c>
      <c r="B85" s="165">
        <f>B25+(5/0.017)*(B11*B51+B26*B50)</f>
        <v>-0.7075486837164575</v>
      </c>
      <c r="C85" s="165">
        <f>C25+(5/0.017)*(C11*C51+C26*C50)</f>
        <v>-0.3431480174759592</v>
      </c>
      <c r="D85" s="165">
        <f>D25+(5/0.017)*(D11*D51+D26*D50)</f>
        <v>-0.6280888691568959</v>
      </c>
      <c r="E85" s="165">
        <f>E25+(5/0.017)*(E11*E51+E26*E50)</f>
        <v>0.5673456668051671</v>
      </c>
      <c r="F85" s="165">
        <f>F25+(5/0.017)*(F11*F51+F26*F50)</f>
        <v>-2.123687789968999</v>
      </c>
    </row>
    <row r="86" spans="1:6" ht="12.75">
      <c r="A86" s="165" t="s">
        <v>179</v>
      </c>
      <c r="B86" s="165">
        <f>B26+(6/0.017)*(B12*B51+B27*B50)</f>
        <v>0.5253747808850359</v>
      </c>
      <c r="C86" s="165">
        <f>C26+(6/0.017)*(C12*C51+C27*C50)</f>
        <v>0.10536078399208847</v>
      </c>
      <c r="D86" s="165">
        <f>D26+(6/0.017)*(D12*D51+D27*D50)</f>
        <v>0.25296183470673256</v>
      </c>
      <c r="E86" s="165">
        <f>E26+(6/0.017)*(E12*E51+E27*E50)</f>
        <v>-0.10569036648773598</v>
      </c>
      <c r="F86" s="165">
        <f>F26+(6/0.017)*(F12*F51+F27*F50)</f>
        <v>0.552041014351716</v>
      </c>
    </row>
    <row r="87" spans="1:6" ht="12.75">
      <c r="A87" s="165" t="s">
        <v>180</v>
      </c>
      <c r="B87" s="165">
        <f>B27+(7/0.017)*(B13*B51+B28*B50)</f>
        <v>0.2381898882571121</v>
      </c>
      <c r="C87" s="165">
        <f>C27+(7/0.017)*(C13*C51+C28*C50)</f>
        <v>0.1518195740761907</v>
      </c>
      <c r="D87" s="165">
        <f>D27+(7/0.017)*(D13*D51+D28*D50)</f>
        <v>0.05851940476670463</v>
      </c>
      <c r="E87" s="165">
        <f>E27+(7/0.017)*(E13*E51+E28*E50)</f>
        <v>-0.03816588790821759</v>
      </c>
      <c r="F87" s="165">
        <f>F27+(7/0.017)*(F13*F51+F28*F50)</f>
        <v>0.26552904455083887</v>
      </c>
    </row>
    <row r="88" spans="1:6" ht="12.75">
      <c r="A88" s="165" t="s">
        <v>181</v>
      </c>
      <c r="B88" s="165">
        <f>B28+(8/0.017)*(B14*B51+B29*B50)</f>
        <v>0.08091047386255602</v>
      </c>
      <c r="C88" s="165">
        <f>C28+(8/0.017)*(C14*C51+C29*C50)</f>
        <v>0.34481570054255123</v>
      </c>
      <c r="D88" s="165">
        <f>D28+(8/0.017)*(D14*D51+D29*D50)</f>
        <v>-0.19822383715275793</v>
      </c>
      <c r="E88" s="165">
        <f>E28+(8/0.017)*(E14*E51+E29*E50)</f>
        <v>-0.22864065546216475</v>
      </c>
      <c r="F88" s="165">
        <f>F28+(8/0.017)*(F14*F51+F29*F50)</f>
        <v>-0.014055044181551615</v>
      </c>
    </row>
    <row r="89" spans="1:6" ht="12.75">
      <c r="A89" s="165" t="s">
        <v>182</v>
      </c>
      <c r="B89" s="165">
        <f>B29+(9/0.017)*(B15*B51+B30*B50)</f>
        <v>-0.03161178036960266</v>
      </c>
      <c r="C89" s="165">
        <f>C29+(9/0.017)*(C15*C51+C30*C50)</f>
        <v>-0.05701561197164695</v>
      </c>
      <c r="D89" s="165">
        <f>D29+(9/0.017)*(D15*D51+D30*D50)</f>
        <v>-0.09907003396080978</v>
      </c>
      <c r="E89" s="165">
        <f>E29+(9/0.017)*(E15*E51+E30*E50)</f>
        <v>0.13370855185468128</v>
      </c>
      <c r="F89" s="165">
        <f>F29+(9/0.017)*(F15*F51+F30*F50)</f>
        <v>-0.09692740523977786</v>
      </c>
    </row>
    <row r="90" spans="1:6" ht="12.75">
      <c r="A90" s="165" t="s">
        <v>183</v>
      </c>
      <c r="B90" s="165">
        <f>B30+(10/0.017)*(B16*B51+B31*B50)</f>
        <v>0.0955416309243695</v>
      </c>
      <c r="C90" s="165">
        <f>C30+(10/0.017)*(C16*C51+C31*C50)</f>
        <v>0.06198049366634698</v>
      </c>
      <c r="D90" s="165">
        <f>D30+(10/0.017)*(D16*D51+D31*D50)</f>
        <v>0.06027614405381181</v>
      </c>
      <c r="E90" s="165">
        <f>E30+(10/0.017)*(E16*E51+E31*E50)</f>
        <v>0.0444132897172235</v>
      </c>
      <c r="F90" s="165">
        <f>F30+(10/0.017)*(F16*F51+F31*F50)</f>
        <v>0.2574581965025275</v>
      </c>
    </row>
    <row r="91" spans="1:6" ht="12.75">
      <c r="A91" s="165" t="s">
        <v>184</v>
      </c>
      <c r="B91" s="165">
        <f>B31+(11/0.017)*(B17*B51+B32*B50)</f>
        <v>0.023891829799839538</v>
      </c>
      <c r="C91" s="165">
        <f>C31+(11/0.017)*(C17*C51+C32*C50)</f>
        <v>-0.0036137123878198646</v>
      </c>
      <c r="D91" s="165">
        <f>D31+(11/0.017)*(D17*D51+D32*D50)</f>
        <v>0.00041723015957382224</v>
      </c>
      <c r="E91" s="165">
        <f>E31+(11/0.017)*(E17*E51+E32*E50)</f>
        <v>0.028692023395590693</v>
      </c>
      <c r="F91" s="165">
        <f>F31+(11/0.017)*(F17*F51+F32*F50)</f>
        <v>0.027334456346732053</v>
      </c>
    </row>
    <row r="92" spans="1:6" ht="12.75">
      <c r="A92" s="165" t="s">
        <v>185</v>
      </c>
      <c r="B92" s="165">
        <f>B32+(12/0.017)*(B18*B51+B33*B50)</f>
        <v>0.03472452279102596</v>
      </c>
      <c r="C92" s="165">
        <f>C32+(12/0.017)*(C18*C51+C33*C50)</f>
        <v>0.04671331523977823</v>
      </c>
      <c r="D92" s="165">
        <f>D32+(12/0.017)*(D18*D51+D33*D50)</f>
        <v>-0.022381081318135394</v>
      </c>
      <c r="E92" s="165">
        <f>E32+(12/0.017)*(E18*E51+E33*E50)</f>
        <v>-0.006366050896333774</v>
      </c>
      <c r="F92" s="165">
        <f>F32+(12/0.017)*(F18*F51+F33*F50)</f>
        <v>0.008392267564794356</v>
      </c>
    </row>
    <row r="93" spans="1:6" ht="12.75">
      <c r="A93" s="165" t="s">
        <v>186</v>
      </c>
      <c r="B93" s="165">
        <f>B33+(13/0.017)*(B19*B51+B34*B50)</f>
        <v>0.06445094781814643</v>
      </c>
      <c r="C93" s="165">
        <f>C33+(13/0.017)*(C19*C51+C34*C50)</f>
        <v>0.05040499150876394</v>
      </c>
      <c r="D93" s="165">
        <f>D33+(13/0.017)*(D19*D51+D34*D50)</f>
        <v>0.0478718249503812</v>
      </c>
      <c r="E93" s="165">
        <f>E33+(13/0.017)*(E19*E51+E34*E50)</f>
        <v>0.04525007411477398</v>
      </c>
      <c r="F93" s="165">
        <f>F33+(13/0.017)*(F19*F51+F34*F50)</f>
        <v>0.03456792358949404</v>
      </c>
    </row>
    <row r="94" spans="1:6" ht="12.75">
      <c r="A94" s="165" t="s">
        <v>187</v>
      </c>
      <c r="B94" s="165">
        <f>B34+(14/0.017)*(B20*B51+B35*B50)</f>
        <v>0.010703857024777405</v>
      </c>
      <c r="C94" s="165">
        <f>C34+(14/0.017)*(C20*C51+C35*C50)</f>
        <v>0.020393248927684387</v>
      </c>
      <c r="D94" s="165">
        <f>D34+(14/0.017)*(D20*D51+D35*D50)</f>
        <v>0.0180693474208396</v>
      </c>
      <c r="E94" s="165">
        <f>E34+(14/0.017)*(E20*E51+E35*E50)</f>
        <v>0.013708285969317226</v>
      </c>
      <c r="F94" s="165">
        <f>F34+(14/0.017)*(F20*F51+F35*F50)</f>
        <v>-0.022188141796399316</v>
      </c>
    </row>
    <row r="95" spans="1:6" ht="12.75">
      <c r="A95" s="165" t="s">
        <v>188</v>
      </c>
      <c r="B95" s="166">
        <f>B35</f>
        <v>-0.003505809</v>
      </c>
      <c r="C95" s="166">
        <f>C35</f>
        <v>-0.005575956</v>
      </c>
      <c r="D95" s="166">
        <f>D35</f>
        <v>-0.001952778</v>
      </c>
      <c r="E95" s="166">
        <f>E35</f>
        <v>0.005356219</v>
      </c>
      <c r="F95" s="166">
        <f>F35</f>
        <v>0.001635754</v>
      </c>
    </row>
    <row r="98" ht="12.75">
      <c r="A98" s="165" t="s">
        <v>156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158</v>
      </c>
      <c r="H100" s="165" t="s">
        <v>159</v>
      </c>
      <c r="I100" s="165" t="s">
        <v>154</v>
      </c>
      <c r="K100" s="165" t="s">
        <v>189</v>
      </c>
    </row>
    <row r="101" spans="1:9" ht="12.75">
      <c r="A101" s="165" t="s">
        <v>157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160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9999.999999999998</v>
      </c>
    </row>
    <row r="103" spans="1:11" ht="12.75">
      <c r="A103" s="165" t="s">
        <v>161</v>
      </c>
      <c r="B103" s="165">
        <f>B63*10000/B62</f>
        <v>1.7955677737204048</v>
      </c>
      <c r="C103" s="165">
        <f>C63*10000/C62</f>
        <v>1.3534791005298512</v>
      </c>
      <c r="D103" s="165">
        <f>D63*10000/D62</f>
        <v>-0.6828771832128108</v>
      </c>
      <c r="E103" s="165">
        <f>E63*10000/E62</f>
        <v>-3.168378812633622</v>
      </c>
      <c r="F103" s="165">
        <f>F63*10000/F62</f>
        <v>-0.6003635870212907</v>
      </c>
      <c r="G103" s="165">
        <f>AVERAGE(C103:E103)</f>
        <v>-0.8325922984388604</v>
      </c>
      <c r="H103" s="165">
        <f>STDEV(C103:E103)</f>
        <v>2.2646436162242267</v>
      </c>
      <c r="I103" s="165">
        <f>(B103*B4+C103*C4+D103*D4+E103*E4+F103*F4)/SUM(B4:F4)</f>
        <v>-0.4218610827793736</v>
      </c>
      <c r="K103" s="165">
        <f>(LN(H103)+LN(H123))/2-LN(K114*K115^3)</f>
        <v>-3.806655143245852</v>
      </c>
    </row>
    <row r="104" spans="1:11" ht="12.75">
      <c r="A104" s="165" t="s">
        <v>162</v>
      </c>
      <c r="B104" s="165">
        <f>B64*10000/B62</f>
        <v>-1.0590695275045692</v>
      </c>
      <c r="C104" s="165">
        <f>C64*10000/C62</f>
        <v>-0.5696066552991454</v>
      </c>
      <c r="D104" s="165">
        <f>D64*10000/D62</f>
        <v>-0.21222655072630228</v>
      </c>
      <c r="E104" s="165">
        <f>E64*10000/E62</f>
        <v>-0.5206162703970468</v>
      </c>
      <c r="F104" s="165">
        <f>F64*10000/F62</f>
        <v>-1.07944406319298</v>
      </c>
      <c r="G104" s="165">
        <f>AVERAGE(C104:E104)</f>
        <v>-0.43414982547416486</v>
      </c>
      <c r="H104" s="165">
        <f>STDEV(C104:E104)</f>
        <v>0.1937458886256053</v>
      </c>
      <c r="I104" s="165">
        <f>(B104*B4+C104*C4+D104*D4+E104*E4+F104*F4)/SUM(B4:F4)</f>
        <v>-0.6108732914106844</v>
      </c>
      <c r="K104" s="165">
        <f>(LN(H104)+LN(H124))/2-LN(K114*K115^4)</f>
        <v>-3.6476755777262317</v>
      </c>
    </row>
    <row r="105" spans="1:11" ht="12.75">
      <c r="A105" s="165" t="s">
        <v>163</v>
      </c>
      <c r="B105" s="165">
        <f>B65*10000/B62</f>
        <v>0.16682680604764522</v>
      </c>
      <c r="C105" s="165">
        <f>C65*10000/C62</f>
        <v>-0.16891235970010587</v>
      </c>
      <c r="D105" s="165">
        <f>D65*10000/D62</f>
        <v>0.610819270160808</v>
      </c>
      <c r="E105" s="165">
        <f>E65*10000/E62</f>
        <v>1.220532929681301</v>
      </c>
      <c r="F105" s="165">
        <f>F65*10000/F62</f>
        <v>-1.5921802337887123</v>
      </c>
      <c r="G105" s="165">
        <f>AVERAGE(C105:E105)</f>
        <v>0.5541466133806677</v>
      </c>
      <c r="H105" s="165">
        <f>STDEV(C105:E105)</f>
        <v>0.6964541589838739</v>
      </c>
      <c r="I105" s="165">
        <f>(B105*B4+C105*C4+D105*D4+E105*E4+F105*F4)/SUM(B4:F4)</f>
        <v>0.21068291918874218</v>
      </c>
      <c r="K105" s="165">
        <f>(LN(H105)+LN(H125))/2-LN(K114*K115^5)</f>
        <v>-3.112283106011823</v>
      </c>
    </row>
    <row r="106" spans="1:11" ht="12.75">
      <c r="A106" s="165" t="s">
        <v>164</v>
      </c>
      <c r="B106" s="165">
        <f>B66*10000/B62</f>
        <v>2.2978158668293274</v>
      </c>
      <c r="C106" s="165">
        <f>C66*10000/C62</f>
        <v>1.6269387904039332</v>
      </c>
      <c r="D106" s="165">
        <f>D66*10000/D62</f>
        <v>1.7795797832400664</v>
      </c>
      <c r="E106" s="165">
        <f>E66*10000/E62</f>
        <v>1.6069078753498556</v>
      </c>
      <c r="F106" s="165">
        <f>F66*10000/F62</f>
        <v>13.047808067700473</v>
      </c>
      <c r="G106" s="165">
        <f>AVERAGE(C106:E106)</f>
        <v>1.6711421496646184</v>
      </c>
      <c r="H106" s="165">
        <f>STDEV(C106:E106)</f>
        <v>0.09444230869190993</v>
      </c>
      <c r="I106" s="165">
        <f>(B106*B4+C106*C4+D106*D4+E106*E4+F106*F4)/SUM(B4:F4)</f>
        <v>3.2856248763538134</v>
      </c>
      <c r="K106" s="165">
        <f>(LN(H106)+LN(H126))/2-LN(K114*K115^6)</f>
        <v>-4.141174510594439</v>
      </c>
    </row>
    <row r="107" spans="1:11" ht="12.75">
      <c r="A107" s="165" t="s">
        <v>165</v>
      </c>
      <c r="B107" s="165">
        <f>B67*10000/B62</f>
        <v>-0.12081837321789776</v>
      </c>
      <c r="C107" s="165">
        <f>C67*10000/C62</f>
        <v>0.06071727738066481</v>
      </c>
      <c r="D107" s="165">
        <f>D67*10000/D62</f>
        <v>0.07561305285285877</v>
      </c>
      <c r="E107" s="165">
        <f>E67*10000/E62</f>
        <v>-0.07105036656873466</v>
      </c>
      <c r="F107" s="165">
        <f>F67*10000/F62</f>
        <v>0.27176986229487204</v>
      </c>
      <c r="G107" s="165">
        <f>AVERAGE(C107:E107)</f>
        <v>0.021759987888262975</v>
      </c>
      <c r="H107" s="165">
        <f>STDEV(C107:E107)</f>
        <v>0.08072045869886182</v>
      </c>
      <c r="I107" s="165">
        <f>(B107*B4+C107*C4+D107*D4+E107*E4+F107*F4)/SUM(B4:F4)</f>
        <v>0.0346515780558178</v>
      </c>
      <c r="K107" s="165">
        <f>(LN(H107)+LN(H127))/2-LN(K114*K115^7)</f>
        <v>-3.948631421631959</v>
      </c>
    </row>
    <row r="108" spans="1:9" ht="12.75">
      <c r="A108" s="165" t="s">
        <v>166</v>
      </c>
      <c r="B108" s="165">
        <f>B68*10000/B62</f>
        <v>-0.06149385602618144</v>
      </c>
      <c r="C108" s="165">
        <f>C68*10000/C62</f>
        <v>-0.02421959019789771</v>
      </c>
      <c r="D108" s="165">
        <f>D68*10000/D62</f>
        <v>0.13142223607588824</v>
      </c>
      <c r="E108" s="165">
        <f>E68*10000/E62</f>
        <v>0.04187570832970355</v>
      </c>
      <c r="F108" s="165">
        <f>F68*10000/F62</f>
        <v>0.009435746496230147</v>
      </c>
      <c r="G108" s="165">
        <f>AVERAGE(C108:E108)</f>
        <v>0.04969278473589803</v>
      </c>
      <c r="H108" s="165">
        <f>STDEV(C108:E108)</f>
        <v>0.07811481635461388</v>
      </c>
      <c r="I108" s="165">
        <f>(B108*B4+C108*C4+D108*D4+E108*E4+F108*F4)/SUM(B4:F4)</f>
        <v>0.028234178498486043</v>
      </c>
    </row>
    <row r="109" spans="1:9" ht="12.75">
      <c r="A109" s="165" t="s">
        <v>167</v>
      </c>
      <c r="B109" s="165">
        <f>B69*10000/B62</f>
        <v>-0.06555087647272693</v>
      </c>
      <c r="C109" s="165">
        <f>C69*10000/C62</f>
        <v>0.024925325894218853</v>
      </c>
      <c r="D109" s="165">
        <f>D69*10000/D62</f>
        <v>0.12420710379993459</v>
      </c>
      <c r="E109" s="165">
        <f>E69*10000/E62</f>
        <v>0.0332689427562992</v>
      </c>
      <c r="F109" s="165">
        <f>F69*10000/F62</f>
        <v>-0.02217982646778165</v>
      </c>
      <c r="G109" s="165">
        <f>AVERAGE(C109:E109)</f>
        <v>0.060800457483484206</v>
      </c>
      <c r="H109" s="165">
        <f>STDEV(C109:E109)</f>
        <v>0.05507001074459558</v>
      </c>
      <c r="I109" s="165">
        <f>(B109*B4+C109*C4+D109*D4+E109*E4+F109*F4)/SUM(B4:F4)</f>
        <v>0.03142950344765296</v>
      </c>
    </row>
    <row r="110" spans="1:11" ht="12.75">
      <c r="A110" s="165" t="s">
        <v>168</v>
      </c>
      <c r="B110" s="165">
        <f>B70*10000/B62</f>
        <v>-0.4555828381432251</v>
      </c>
      <c r="C110" s="165">
        <f>C70*10000/C62</f>
        <v>-0.20640080727540594</v>
      </c>
      <c r="D110" s="165">
        <f>D70*10000/D62</f>
        <v>-0.18478931159884898</v>
      </c>
      <c r="E110" s="165">
        <f>E70*10000/E62</f>
        <v>-0.2136216112200105</v>
      </c>
      <c r="F110" s="165">
        <f>F70*10000/F62</f>
        <v>-0.5574123209539438</v>
      </c>
      <c r="G110" s="165">
        <f>AVERAGE(C110:E110)</f>
        <v>-0.20160391003142183</v>
      </c>
      <c r="H110" s="165">
        <f>STDEV(C110:E110)</f>
        <v>0.015002767835906103</v>
      </c>
      <c r="I110" s="165">
        <f>(B110*B4+C110*C4+D110*D4+E110*E4+F110*F4)/SUM(B4:F4)</f>
        <v>-0.2859542693755536</v>
      </c>
      <c r="K110" s="165">
        <f>EXP(AVERAGE(K103:K107))</f>
        <v>0.023962049958961878</v>
      </c>
    </row>
    <row r="111" spans="1:9" ht="12.75">
      <c r="A111" s="165" t="s">
        <v>169</v>
      </c>
      <c r="B111" s="165">
        <f>B71*10000/B62</f>
        <v>0.011609960402869728</v>
      </c>
      <c r="C111" s="165">
        <f>C71*10000/C62</f>
        <v>-0.0038662739383710978</v>
      </c>
      <c r="D111" s="165">
        <f>D71*10000/D62</f>
        <v>-0.014540588291391007</v>
      </c>
      <c r="E111" s="165">
        <f>E71*10000/E62</f>
        <v>0.017125076067268645</v>
      </c>
      <c r="F111" s="165">
        <f>F71*10000/F62</f>
        <v>-0.016574681460176217</v>
      </c>
      <c r="G111" s="165">
        <f>AVERAGE(C111:E111)</f>
        <v>-0.00042726205416448657</v>
      </c>
      <c r="H111" s="165">
        <f>STDEV(C111:E111)</f>
        <v>0.016110514481965117</v>
      </c>
      <c r="I111" s="165">
        <f>(B111*B4+C111*C4+D111*D4+E111*E4+F111*F4)/SUM(B4:F4)</f>
        <v>-0.0008506376102693086</v>
      </c>
    </row>
    <row r="112" spans="1:9" ht="12.75">
      <c r="A112" s="165" t="s">
        <v>170</v>
      </c>
      <c r="B112" s="165">
        <f>B72*10000/B62</f>
        <v>0.00026484747731044455</v>
      </c>
      <c r="C112" s="165">
        <f>C72*10000/C62</f>
        <v>0.00017201065489792948</v>
      </c>
      <c r="D112" s="165">
        <f>D72*10000/D62</f>
        <v>-0.02073068910286706</v>
      </c>
      <c r="E112" s="165">
        <f>E72*10000/E62</f>
        <v>-0.024159698116496594</v>
      </c>
      <c r="F112" s="165">
        <f>F72*10000/F62</f>
        <v>-0.03650905824200148</v>
      </c>
      <c r="G112" s="165">
        <f>AVERAGE(C112:E112)</f>
        <v>-0.014906125521488576</v>
      </c>
      <c r="H112" s="165">
        <f>STDEV(C112:E112)</f>
        <v>0.013170124092776408</v>
      </c>
      <c r="I112" s="165">
        <f>(B112*B4+C112*C4+D112*D4+E112*E4+F112*F4)/SUM(B4:F4)</f>
        <v>-0.015608167041829803</v>
      </c>
    </row>
    <row r="113" spans="1:9" ht="12.75">
      <c r="A113" s="165" t="s">
        <v>171</v>
      </c>
      <c r="B113" s="165">
        <f>B73*10000/B62</f>
        <v>0.015352396696430978</v>
      </c>
      <c r="C113" s="165">
        <f>C73*10000/C62</f>
        <v>0.02827974414350319</v>
      </c>
      <c r="D113" s="165">
        <f>D73*10000/D62</f>
        <v>0.016872185980118092</v>
      </c>
      <c r="E113" s="165">
        <f>E73*10000/E62</f>
        <v>0.01462317095300202</v>
      </c>
      <c r="F113" s="165">
        <f>F73*10000/F62</f>
        <v>-0.007337660495749219</v>
      </c>
      <c r="G113" s="165">
        <f>AVERAGE(C113:E113)</f>
        <v>0.01992503369220777</v>
      </c>
      <c r="H113" s="165">
        <f>STDEV(C113:E113)</f>
        <v>0.00732225424249849</v>
      </c>
      <c r="I113" s="165">
        <f>(B113*B4+C113*C4+D113*D4+E113*E4+F113*F4)/SUM(B4:F4)</f>
        <v>0.015612731717573101</v>
      </c>
    </row>
    <row r="114" spans="1:11" ht="12.75">
      <c r="A114" s="165" t="s">
        <v>172</v>
      </c>
      <c r="B114" s="165">
        <f>B74*10000/B62</f>
        <v>-0.2038829907446875</v>
      </c>
      <c r="C114" s="165">
        <f>C74*10000/C62</f>
        <v>-0.18083797039579835</v>
      </c>
      <c r="D114" s="165">
        <f>D74*10000/D62</f>
        <v>-0.18557996467136215</v>
      </c>
      <c r="E114" s="165">
        <f>E74*10000/E62</f>
        <v>-0.18347026672751132</v>
      </c>
      <c r="F114" s="165">
        <f>F74*10000/F62</f>
        <v>-0.14271243112162033</v>
      </c>
      <c r="G114" s="165">
        <f>AVERAGE(C114:E114)</f>
        <v>-0.1832960672648906</v>
      </c>
      <c r="H114" s="165">
        <f>STDEV(C114:E114)</f>
        <v>0.002375791766327488</v>
      </c>
      <c r="I114" s="165">
        <f>(B114*B4+C114*C4+D114*D4+E114*E4+F114*F4)/SUM(B4:F4)</f>
        <v>-0.18083325590841248</v>
      </c>
      <c r="J114" s="165" t="s">
        <v>190</v>
      </c>
      <c r="K114" s="165">
        <v>285</v>
      </c>
    </row>
    <row r="115" spans="1:11" ht="12.75">
      <c r="A115" s="165" t="s">
        <v>173</v>
      </c>
      <c r="B115" s="165">
        <f>B75*10000/B62</f>
        <v>0.0020118579338393714</v>
      </c>
      <c r="C115" s="165">
        <f>C75*10000/C62</f>
        <v>-7.256233516890226E-05</v>
      </c>
      <c r="D115" s="165">
        <f>D75*10000/D62</f>
        <v>-0.005370957321731316</v>
      </c>
      <c r="E115" s="165">
        <f>E75*10000/E62</f>
        <v>-0.005406466749802259</v>
      </c>
      <c r="F115" s="165">
        <f>F75*10000/F62</f>
        <v>0.00379748812803983</v>
      </c>
      <c r="G115" s="165">
        <f>AVERAGE(C115:E115)</f>
        <v>-0.003616662135567492</v>
      </c>
      <c r="H115" s="165">
        <f>STDEV(C115:E115)</f>
        <v>0.0030693318126685945</v>
      </c>
      <c r="I115" s="165">
        <f>(B115*B4+C115*C4+D115*D4+E115*E4+F115*F4)/SUM(B4:F4)</f>
        <v>-0.0018103537976529764</v>
      </c>
      <c r="J115" s="165" t="s">
        <v>191</v>
      </c>
      <c r="K115" s="165">
        <v>0.5536</v>
      </c>
    </row>
    <row r="118" ht="12.75">
      <c r="A118" s="165" t="s">
        <v>156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158</v>
      </c>
      <c r="H120" s="165" t="s">
        <v>159</v>
      </c>
      <c r="I120" s="165" t="s">
        <v>154</v>
      </c>
    </row>
    <row r="121" spans="1:9" ht="12.75">
      <c r="A121" s="165" t="s">
        <v>174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175</v>
      </c>
      <c r="B122" s="165">
        <f>B82*10000/B62</f>
        <v>32.92962491135431</v>
      </c>
      <c r="C122" s="165">
        <f>C82*10000/C62</f>
        <v>-28.911197001570834</v>
      </c>
      <c r="D122" s="165">
        <f>D82*10000/D62</f>
        <v>-8.484392777963068</v>
      </c>
      <c r="E122" s="165">
        <f>E82*10000/E62</f>
        <v>17.996359127900803</v>
      </c>
      <c r="F122" s="165">
        <f>F82*10000/F62</f>
        <v>-0.8523793508022389</v>
      </c>
      <c r="G122" s="165">
        <f>AVERAGE(C122:E122)</f>
        <v>-6.466410217211032</v>
      </c>
      <c r="H122" s="165">
        <f>STDEV(C122:E122)</f>
        <v>23.518798772928594</v>
      </c>
      <c r="I122" s="165">
        <f>(B122*B4+C122*C4+D122*D4+E122*E4+F122*F4)/SUM(B4:F4)</f>
        <v>-0.023570240123290658</v>
      </c>
    </row>
    <row r="123" spans="1:9" ht="12.75">
      <c r="A123" s="165" t="s">
        <v>176</v>
      </c>
      <c r="B123" s="165">
        <f>B83*10000/B62</f>
        <v>-1.4285705791813434</v>
      </c>
      <c r="C123" s="165">
        <f>C83*10000/C62</f>
        <v>-1.5075988782230363</v>
      </c>
      <c r="D123" s="165">
        <f>D83*10000/D62</f>
        <v>-1.6349425436024736</v>
      </c>
      <c r="E123" s="165">
        <f>E83*10000/E62</f>
        <v>-0.695087116331285</v>
      </c>
      <c r="F123" s="165">
        <f>F83*10000/F62</f>
        <v>5.110812690018595</v>
      </c>
      <c r="G123" s="165">
        <f>AVERAGE(C123:E123)</f>
        <v>-1.2792095127189318</v>
      </c>
      <c r="H123" s="165">
        <f>STDEV(C123:E123)</f>
        <v>0.5098561883014686</v>
      </c>
      <c r="I123" s="165">
        <f>(B123*B4+C123*C4+D123*D4+E123*E4+F123*F4)/SUM(B4:F4)</f>
        <v>-0.4447823673191232</v>
      </c>
    </row>
    <row r="124" spans="1:9" ht="12.75">
      <c r="A124" s="165" t="s">
        <v>177</v>
      </c>
      <c r="B124" s="165">
        <f>B84*10000/B62</f>
        <v>-1.366775020763388</v>
      </c>
      <c r="C124" s="165">
        <f>C84*10000/C62</f>
        <v>1.6513377652651624</v>
      </c>
      <c r="D124" s="165">
        <f>D84*10000/D62</f>
        <v>-1.642662092774794</v>
      </c>
      <c r="E124" s="165">
        <f>E84*10000/E62</f>
        <v>-3.2765670410797654</v>
      </c>
      <c r="F124" s="165">
        <f>F84*10000/F62</f>
        <v>1.1904435198585754</v>
      </c>
      <c r="G124" s="165">
        <f>AVERAGE(C124:E124)</f>
        <v>-1.0892971228631323</v>
      </c>
      <c r="H124" s="165">
        <f>STDEV(C124:E124)</f>
        <v>2.510123709609421</v>
      </c>
      <c r="I124" s="165">
        <f>(B124*B4+C124*C4+D124*D4+E124*E4+F124*F4)/SUM(B4:F4)</f>
        <v>-0.823958645902359</v>
      </c>
    </row>
    <row r="125" spans="1:9" ht="12.75">
      <c r="A125" s="165" t="s">
        <v>178</v>
      </c>
      <c r="B125" s="165">
        <f>B85*10000/B62</f>
        <v>-0.7075507705897647</v>
      </c>
      <c r="C125" s="165">
        <f>C85*10000/C62</f>
        <v>-0.3431482783704548</v>
      </c>
      <c r="D125" s="165">
        <f>D85*10000/D62</f>
        <v>-0.6280899592578763</v>
      </c>
      <c r="E125" s="165">
        <f>E85*10000/E62</f>
        <v>0.567345325735004</v>
      </c>
      <c r="F125" s="165">
        <f>F85*10000/F62</f>
        <v>-2.123721975450856</v>
      </c>
      <c r="G125" s="165">
        <f>AVERAGE(C125:E125)</f>
        <v>-0.13463097063110904</v>
      </c>
      <c r="H125" s="165">
        <f>STDEV(C125:E125)</f>
        <v>0.6244004971744105</v>
      </c>
      <c r="I125" s="165">
        <f>(B125*B4+C125*C4+D125*D4+E125*E4+F125*F4)/SUM(B4:F4)</f>
        <v>-0.48380618486660887</v>
      </c>
    </row>
    <row r="126" spans="1:9" ht="12.75">
      <c r="A126" s="165" t="s">
        <v>179</v>
      </c>
      <c r="B126" s="165">
        <f>B86*10000/B62</f>
        <v>0.5253763304471107</v>
      </c>
      <c r="C126" s="165">
        <f>C86*10000/C62</f>
        <v>0.10536086409760329</v>
      </c>
      <c r="D126" s="165">
        <f>D86*10000/D62</f>
        <v>0.2529622737432408</v>
      </c>
      <c r="E126" s="165">
        <f>E86*10000/E62</f>
        <v>-0.10569030295005051</v>
      </c>
      <c r="F126" s="165">
        <f>F86*10000/F62</f>
        <v>0.552049900680568</v>
      </c>
      <c r="G126" s="165">
        <f>AVERAGE(C126:E126)</f>
        <v>0.08421094496359788</v>
      </c>
      <c r="H126" s="165">
        <f>STDEV(C126:E126)</f>
        <v>0.1802592771585294</v>
      </c>
      <c r="I126" s="165">
        <f>(B126*B4+C126*C4+D126*D4+E126*E4+F126*F4)/SUM(B4:F4)</f>
        <v>0.2105951896075141</v>
      </c>
    </row>
    <row r="127" spans="1:9" ht="12.75">
      <c r="A127" s="165" t="s">
        <v>180</v>
      </c>
      <c r="B127" s="165">
        <f>B87*10000/B62</f>
        <v>0.23819059078420493</v>
      </c>
      <c r="C127" s="165">
        <f>C87*10000/C62</f>
        <v>0.15181968950419605</v>
      </c>
      <c r="D127" s="165">
        <f>D87*10000/D62</f>
        <v>0.05851950633204615</v>
      </c>
      <c r="E127" s="165">
        <f>E87*10000/E62</f>
        <v>-0.038165864964100134</v>
      </c>
      <c r="F127" s="165">
        <f>F87*10000/F62</f>
        <v>0.26553331883182213</v>
      </c>
      <c r="G127" s="165">
        <f>AVERAGE(C127:E127)</f>
        <v>0.05739111029071403</v>
      </c>
      <c r="H127" s="165">
        <f>STDEV(C127:E127)</f>
        <v>0.09499780357921993</v>
      </c>
      <c r="I127" s="165">
        <f>(B127*B4+C127*C4+D127*D4+E127*E4+F127*F4)/SUM(B4:F4)</f>
        <v>0.11138897587200776</v>
      </c>
    </row>
    <row r="128" spans="1:9" ht="12.75">
      <c r="A128" s="165" t="s">
        <v>181</v>
      </c>
      <c r="B128" s="165">
        <f>B88*10000/B62</f>
        <v>0.08091071250324897</v>
      </c>
      <c r="C128" s="165">
        <f>C88*10000/C62</f>
        <v>0.34481596270498166</v>
      </c>
      <c r="D128" s="165">
        <f>D88*10000/D62</f>
        <v>-0.1982241811868745</v>
      </c>
      <c r="E128" s="165">
        <f>E88*10000/E62</f>
        <v>-0.22864051801067756</v>
      </c>
      <c r="F128" s="165">
        <f>F88*10000/F62</f>
        <v>-0.014055270428771256</v>
      </c>
      <c r="G128" s="165">
        <f>AVERAGE(C128:E128)</f>
        <v>-0.027349578830856796</v>
      </c>
      <c r="H128" s="165">
        <f>STDEV(C128:E128)</f>
        <v>0.3226634176916291</v>
      </c>
      <c r="I128" s="165">
        <f>(B128*B4+C128*C4+D128*D4+E128*E4+F128*F4)/SUM(B4:F4)</f>
        <v>-0.009919747859448406</v>
      </c>
    </row>
    <row r="129" spans="1:9" ht="12.75">
      <c r="A129" s="165" t="s">
        <v>182</v>
      </c>
      <c r="B129" s="165">
        <f>B89*10000/B62</f>
        <v>-0.03161187360669314</v>
      </c>
      <c r="C129" s="165">
        <f>C89*10000/C62</f>
        <v>-0.057015655320460205</v>
      </c>
      <c r="D129" s="165">
        <f>D89*10000/D62</f>
        <v>-0.09907020590517378</v>
      </c>
      <c r="E129" s="165">
        <f>E89*10000/E62</f>
        <v>0.13370847147335424</v>
      </c>
      <c r="F129" s="165">
        <f>F89*10000/F62</f>
        <v>-0.096928965502105</v>
      </c>
      <c r="G129" s="165">
        <f>AVERAGE(C129:E129)</f>
        <v>-0.007459129917426578</v>
      </c>
      <c r="H129" s="165">
        <f>STDEV(C129:E129)</f>
        <v>0.12404984912542355</v>
      </c>
      <c r="I129" s="165">
        <f>(B129*B4+C129*C4+D129*D4+E129*E4+F129*F4)/SUM(B4:F4)</f>
        <v>-0.022927032950219764</v>
      </c>
    </row>
    <row r="130" spans="1:9" ht="12.75">
      <c r="A130" s="165" t="s">
        <v>183</v>
      </c>
      <c r="B130" s="165">
        <f>B90*10000/B62</f>
        <v>0.09554191271880129</v>
      </c>
      <c r="C130" s="165">
        <f>C90*10000/C62</f>
        <v>0.06198054078994615</v>
      </c>
      <c r="D130" s="165">
        <f>D90*10000/D62</f>
        <v>0.0602762486681219</v>
      </c>
      <c r="E130" s="165">
        <f>E90*10000/E62</f>
        <v>0.04441326301736685</v>
      </c>
      <c r="F130" s="165">
        <f>F90*10000/F62</f>
        <v>0.2574623408652474</v>
      </c>
      <c r="G130" s="165">
        <f>AVERAGE(C130:E130)</f>
        <v>0.05555668415847831</v>
      </c>
      <c r="H130" s="165">
        <f>STDEV(C130:E130)</f>
        <v>0.009688035350640216</v>
      </c>
      <c r="I130" s="165">
        <f>(B130*B4+C130*C4+D130*D4+E130*E4+F130*F4)/SUM(B4:F4)</f>
        <v>0.08837855766550383</v>
      </c>
    </row>
    <row r="131" spans="1:9" ht="12.75">
      <c r="A131" s="165" t="s">
        <v>184</v>
      </c>
      <c r="B131" s="165">
        <f>B91*10000/B62</f>
        <v>0.023891900267389</v>
      </c>
      <c r="C131" s="165">
        <f>C91*10000/C62</f>
        <v>-0.0036137151353154715</v>
      </c>
      <c r="D131" s="165">
        <f>D91*10000/D62</f>
        <v>0.00041723088371180386</v>
      </c>
      <c r="E131" s="165">
        <f>E91*10000/E62</f>
        <v>0.02869200614685915</v>
      </c>
      <c r="F131" s="165">
        <f>F91*10000/F62</f>
        <v>0.027334896355647644</v>
      </c>
      <c r="G131" s="165">
        <f>AVERAGE(C131:E131)</f>
        <v>0.008498507298418494</v>
      </c>
      <c r="H131" s="165">
        <f>STDEV(C131:E131)</f>
        <v>0.017603839872555035</v>
      </c>
      <c r="I131" s="165">
        <f>(B131*B4+C131*C4+D131*D4+E131*E4+F131*F4)/SUM(B4:F4)</f>
        <v>0.013245812140831006</v>
      </c>
    </row>
    <row r="132" spans="1:9" ht="12.75">
      <c r="A132" s="165" t="s">
        <v>185</v>
      </c>
      <c r="B132" s="165">
        <f>B92*10000/B62</f>
        <v>0.034724625208967484</v>
      </c>
      <c r="C132" s="165">
        <f>C92*10000/C62</f>
        <v>0.046713350755783555</v>
      </c>
      <c r="D132" s="165">
        <f>D92*10000/D62</f>
        <v>-0.022381120162381623</v>
      </c>
      <c r="E132" s="165">
        <f>E92*10000/E62</f>
        <v>-0.0063660470692665306</v>
      </c>
      <c r="F132" s="165">
        <f>F92*10000/F62</f>
        <v>0.008392402657020214</v>
      </c>
      <c r="G132" s="165">
        <f>AVERAGE(C132:E132)</f>
        <v>0.005988727841378467</v>
      </c>
      <c r="H132" s="165">
        <f>STDEV(C132:E132)</f>
        <v>0.03616616962279556</v>
      </c>
      <c r="I132" s="165">
        <f>(B132*B4+C132*C4+D132*D4+E132*E4+F132*F4)/SUM(B4:F4)</f>
        <v>0.010463383189445667</v>
      </c>
    </row>
    <row r="133" spans="1:9" ht="12.75">
      <c r="A133" s="165" t="s">
        <v>186</v>
      </c>
      <c r="B133" s="165">
        <f>B93*10000/B62</f>
        <v>0.06445113791243354</v>
      </c>
      <c r="C133" s="165">
        <f>C93*10000/C62</f>
        <v>0.0504050298315406</v>
      </c>
      <c r="D133" s="165">
        <f>D93*10000/D62</f>
        <v>0.04787190803595375</v>
      </c>
      <c r="E133" s="165">
        <f>E93*10000/E62</f>
        <v>0.04525004691186919</v>
      </c>
      <c r="F133" s="165">
        <f>F93*10000/F62</f>
        <v>0.034568480037165054</v>
      </c>
      <c r="G133" s="165">
        <f>AVERAGE(C133:E133)</f>
        <v>0.04784232825978785</v>
      </c>
      <c r="H133" s="165">
        <f>STDEV(C133:E133)</f>
        <v>0.0025776187553426025</v>
      </c>
      <c r="I133" s="165">
        <f>(B133*B4+C133*C4+D133*D4+E133*E4+F133*F4)/SUM(B4:F4)</f>
        <v>0.04846332994176291</v>
      </c>
    </row>
    <row r="134" spans="1:9" ht="12.75">
      <c r="A134" s="165" t="s">
        <v>187</v>
      </c>
      <c r="B134" s="165">
        <f>B94*10000/B62</f>
        <v>0.010703888595175346</v>
      </c>
      <c r="C134" s="165">
        <f>C94*10000/C62</f>
        <v>0.02039326443261556</v>
      </c>
      <c r="D134" s="165">
        <f>D94*10000/D62</f>
        <v>0.01806937878170954</v>
      </c>
      <c r="E134" s="165">
        <f>E94*10000/E62</f>
        <v>0.01370827772833187</v>
      </c>
      <c r="F134" s="165">
        <f>F94*10000/F62</f>
        <v>-0.022188498963927616</v>
      </c>
      <c r="G134" s="165">
        <f>AVERAGE(C134:E134)</f>
        <v>0.01739030698088566</v>
      </c>
      <c r="H134" s="165">
        <f>STDEV(C134:E134)</f>
        <v>0.003393834953576553</v>
      </c>
      <c r="I134" s="165">
        <f>(B134*B4+C134*C4+D134*D4+E134*E4+F134*F4)/SUM(B4:F4)</f>
        <v>0.011122621296914548</v>
      </c>
    </row>
    <row r="135" spans="1:9" ht="12.75">
      <c r="A135" s="165" t="s">
        <v>188</v>
      </c>
      <c r="B135" s="165">
        <f>B95*10000/B62</f>
        <v>-0.0035058193401778424</v>
      </c>
      <c r="C135" s="165">
        <f>C95*10000/C62</f>
        <v>-0.005575960239384038</v>
      </c>
      <c r="D135" s="165">
        <f>D95*10000/D62</f>
        <v>-0.0019527813892102166</v>
      </c>
      <c r="E135" s="165">
        <f>E95*10000/E62</f>
        <v>0.005356215780011561</v>
      </c>
      <c r="F135" s="165">
        <f>F95*10000/F62</f>
        <v>0.0016357803311014708</v>
      </c>
      <c r="G135" s="165">
        <f>AVERAGE(C135:E135)</f>
        <v>-0.0007241752828608981</v>
      </c>
      <c r="H135" s="165">
        <f>STDEV(C135:E135)</f>
        <v>0.005568682326473757</v>
      </c>
      <c r="I135" s="165">
        <f>(B135*B4+C135*C4+D135*D4+E135*E4+F135*F4)/SUM(B4:F4)</f>
        <v>-0.0008097699417509645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2003-12-19T08:09:54Z</cp:lastPrinted>
  <dcterms:created xsi:type="dcterms:W3CDTF">1999-06-17T15:15:05Z</dcterms:created>
  <dcterms:modified xsi:type="dcterms:W3CDTF">2005-10-05T15:19:54Z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