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3" activeTab="7"/>
  </bookViews>
  <sheets>
    <sheet name="Sommaire" sheetId="1" r:id="rId1"/>
    <sheet name="HCMQAP152_OV_pos1ap2" sheetId="2" r:id="rId2"/>
    <sheet name="HCMQAP152_OV_pos2ap2" sheetId="3" r:id="rId3"/>
    <sheet name="HCMQAP152_OV_pos3ap2" sheetId="4" r:id="rId4"/>
    <sheet name="HCMQAP152_OV_pos4ap2" sheetId="5" r:id="rId5"/>
    <sheet name="HCMQAP152_OV_pos5ap2" sheetId="6" r:id="rId6"/>
    <sheet name="Lmag_hcmqap" sheetId="7" r:id="rId7"/>
    <sheet name="Result_HCMQAP" sheetId="8" r:id="rId8"/>
  </sheets>
  <definedNames>
    <definedName name="_xlnm.Print_Area" localSheetId="1">'HCMQAP152_OV_pos1ap2'!$A$1:$N$28</definedName>
    <definedName name="_xlnm.Print_Area" localSheetId="2">'HCMQAP152_OV_pos2ap2'!$A$1:$N$28</definedName>
    <definedName name="_xlnm.Print_Area" localSheetId="3">'HCMQAP152_OV_pos3ap2'!$A$1:$N$28</definedName>
    <definedName name="_xlnm.Print_Area" localSheetId="4">'HCMQAP152_OV_pos4ap2'!$A$1:$N$28</definedName>
    <definedName name="_xlnm.Print_Area" localSheetId="5">'HCMQAP152_OV_pos5ap2'!$A$1:$N$28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<sst xmlns="http://schemas.openxmlformats.org/spreadsheetml/2006/main" count="512" uniqueCount="193">
  <si>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</si>
  <si>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</si>
  <si>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</si>
  <si>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</si>
  <si>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</si>
  <si>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</si>
  <si>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</si>
  <si>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</si>
  <si>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</si>
  <si>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</si>
  <si>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</si>
  <si>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</si>
  <si>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</si>
  <si>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</si>
  <si>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</si>
  <si>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hcmqap152_ov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</si>
  <si>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</si>
  <si>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</si>
  <si>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</si>
  <si>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</si>
  <si>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</si>
  <si>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</si>
  <si>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</si>
  <si>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</si>
  <si>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</si>
  <si>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</si>
  <si>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</si>
  <si>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</si>
  <si>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</si>
  <si>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</si>
  <si>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</si>
  <si>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</si>
  <si>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</si>
  <si>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</si>
  <si>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</si>
  <si>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</si>
  <si>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</si>
  <si>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</si>
  <si>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</si>
  <si>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</si>
  <si>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</si>
  <si>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</si>
  <si>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</si>
  <si>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</si>
  <si>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</si>
  <si>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</si>
  <si>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</si>
  <si>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</si>
  <si>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</si>
  <si>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</si>
  <si>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</si>
  <si>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</si>
  <si>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</si>
  <si>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</si>
  <si>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</si>
  <si>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</si>
  <si>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</si>
  <si>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</si>
  <si>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</si>
  <si>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-2.262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</si>
  <si>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</si>
  <si>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</si>
  <si>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</si>
  <si>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</si>
  <si>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</si>
  <si>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</si>
  <si>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</si>
  <si>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</si>
  <si>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HCMQAP152_OV_pos1ap2</t>
  </si>
  <si>
    <t>17/12/2003</t>
  </si>
  <si>
    <t>±12.5</t>
  </si>
  <si>
    <t>THCMQAP152_OV_pos1ap2.xls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</si>
  <si>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-3.741 mT)</t>
    </r>
  </si>
  <si>
    <t>HCMQAP152_OV_pos2ap2</t>
  </si>
  <si>
    <t>THCMQAP152_OV_pos2ap2.xls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</si>
  <si>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-3.742 mT)</t>
    </r>
  </si>
  <si>
    <t>HCMQAP152_OV_pos3ap2</t>
  </si>
  <si>
    <t>THCMQAP152_OV_pos3ap2.xls</t>
  </si>
  <si>
    <t>HCMQAP152_OV_pos4ap2</t>
  </si>
  <si>
    <t>THCMQAP152_OV_pos4ap2.xls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</si>
  <si>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-2.108 mT)</t>
    </r>
  </si>
  <si>
    <t>HCMQAP152_OV_pos5ap2</t>
  </si>
  <si>
    <t>THCMQAP152_OV_pos5ap2.xls</t>
  </si>
  <si>
    <t>Sommaire : Valeurs intégrales calculées avec les fichiers: HCMQAP152_OV_pos1ap2+HCMQAP152_OV_pos2ap2+HCMQAP152_OV_pos3ap2+HCMQAP152_OV_pos4ap2+HCMQAP152_OV_pos5ap2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</si>
  <si>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</si>
  <si>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</si>
  <si>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</si>
  <si>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</si>
  <si>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</si>
  <si>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</si>
  <si>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</si>
  <si>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</si>
  <si>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</si>
  <si>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</si>
  <si>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</si>
  <si>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</si>
  <si>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</si>
  <si>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</si>
  <si>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</si>
  <si>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</si>
  <si>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</si>
  <si>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</si>
  <si>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</si>
  <si>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</si>
  <si>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</si>
  <si>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</si>
  <si>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</si>
  <si>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</si>
  <si>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</si>
  <si>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</si>
  <si>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</si>
  <si>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</si>
  <si>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</si>
  <si>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</si>
  <si>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</si>
  <si>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</si>
  <si>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</si>
  <si>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</si>
  <si>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</si>
  <si>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</si>
  <si>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</si>
  <si>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</si>
  <si>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</si>
  <si>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</si>
  <si>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</si>
  <si>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</si>
  <si>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</si>
  <si>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=-3.741</t>
    </r>
  </si>
  <si>
    <t>Gradient (T/m)</t>
  </si>
  <si>
    <t xml:space="preserve"> Wed 17/12/2003       07:12:54</t>
  </si>
  <si>
    <t>SIEGMUND</t>
  </si>
  <si>
    <t>Aperture2</t>
  </si>
  <si>
    <t>Position</t>
  </si>
  <si>
    <t>Integrales</t>
  </si>
  <si>
    <t>Cn (T)</t>
  </si>
  <si>
    <t>Angle (Horiz,Cn)</t>
  </si>
  <si>
    <t>b1</t>
  </si>
  <si>
    <t>b2</t>
  </si>
  <si>
    <t>a1</t>
  </si>
  <si>
    <t>a2</t>
  </si>
  <si>
    <t>a3*</t>
  </si>
  <si>
    <t>a7*</t>
  </si>
  <si>
    <t>Temp taupe (deg)</t>
  </si>
  <si>
    <t>Niv init (mrad)</t>
  </si>
  <si>
    <t>Dx moy (mm)</t>
  </si>
  <si>
    <t>Dy moy (mm)</t>
  </si>
  <si>
    <t>C2 centre (T)</t>
  </si>
  <si>
    <t>Long. Mag. (m)</t>
  </si>
  <si>
    <t>* = Integral error  ! = Central error           Conclusion : CONTACT CEA           Duration : 31mn</t>
  </si>
  <si>
    <t>Number of measurement</t>
  </si>
  <si>
    <t>Mean real current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</si>
  <si>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</si>
  <si>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</si>
  <si>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</si>
  <si>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</si>
  <si>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</si>
  <si>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</si>
  <si>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</si>
  <si>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</si>
  <si>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</si>
  <si>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</si>
  <si>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</si>
  <si>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</si>
  <si>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</si>
  <si>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</si>
  <si>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</si>
  <si>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</si>
  <si>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</si>
  <si>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</si>
  <si>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</si>
  <si>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</si>
  <si>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</si>
  <si>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</si>
  <si>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</si>
  <si>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</si>
  <si>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</si>
  <si>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</si>
  <si>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</si>
  <si>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</si>
  <si>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</si>
  <si>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</si>
  <si>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</si>
  <si>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</si>
  <si>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</si>
  <si>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</si>
  <si>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</si>
  <si>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</si>
  <si>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</si>
  <si>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</si>
  <si>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</si>
  <si>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</si>
  <si>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HCMQAP152_pos1ap2</t>
  </si>
  <si>
    <t>HCMQAP152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</si>
</sst>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0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3" fillId="4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3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4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0" fontId="1" fillId="0" borderId="0" xfId="19" applyFon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52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1.7357436</c:v>
                </c:pt>
                <c:pt idx="1">
                  <c:v>-0.11288091289999999</c:v>
                </c:pt>
                <c:pt idx="2">
                  <c:v>-0.53768005</c:v>
                </c:pt>
                <c:pt idx="3">
                  <c:v>1.02912473</c:v>
                </c:pt>
                <c:pt idx="4">
                  <c:v>12.578309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-0.97289022</c:v>
                </c:pt>
                <c:pt idx="1">
                  <c:v>-2.1529469999999997</c:v>
                </c:pt>
                <c:pt idx="2">
                  <c:v>-0.18253267</c:v>
                </c:pt>
                <c:pt idx="3">
                  <c:v>-0.9134349</c:v>
                </c:pt>
                <c:pt idx="4">
                  <c:v>-40.457806000000005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2.4457849</c:v>
                </c:pt>
                <c:pt idx="1">
                  <c:v>2.1948195</c:v>
                </c:pt>
                <c:pt idx="2">
                  <c:v>1.9418835</c:v>
                </c:pt>
                <c:pt idx="3">
                  <c:v>1.8882115</c:v>
                </c:pt>
                <c:pt idx="4">
                  <c:v>14.439167000000001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0.33224023999999996</c:v>
                </c:pt>
                <c:pt idx="1">
                  <c:v>-0.0594836861</c:v>
                </c:pt>
                <c:pt idx="2">
                  <c:v>0.21149486</c:v>
                </c:pt>
                <c:pt idx="3">
                  <c:v>0.23974997</c:v>
                </c:pt>
                <c:pt idx="4">
                  <c:v>-1.10876454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-0.43110479999999995</c:v>
                </c:pt>
                <c:pt idx="1">
                  <c:v>-0.12625093</c:v>
                </c:pt>
                <c:pt idx="2">
                  <c:v>-0.11680944099999999</c:v>
                </c:pt>
                <c:pt idx="3">
                  <c:v>-0.119719934</c:v>
                </c:pt>
                <c:pt idx="4">
                  <c:v>-0.42880931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0.13575625000000002</c:v>
                </c:pt>
                <c:pt idx="1">
                  <c:v>0.0011721275829999999</c:v>
                </c:pt>
                <c:pt idx="2">
                  <c:v>-0.029910614000000002</c:v>
                </c:pt>
                <c:pt idx="3">
                  <c:v>0.033651822000000005</c:v>
                </c:pt>
                <c:pt idx="4">
                  <c:v>0.17561262000000002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Lmag_hcmqap!$B$6:$F$6</c:f>
              <c:numCache>
                <c:ptCount val="5"/>
                <c:pt idx="0">
                  <c:v>-0.48088429999999993</c:v>
                </c:pt>
                <c:pt idx="1">
                  <c:v>0.28603440999999996</c:v>
                </c:pt>
                <c:pt idx="2">
                  <c:v>-0.078588475</c:v>
                </c:pt>
                <c:pt idx="3">
                  <c:v>-0.41041636</c:v>
                </c:pt>
                <c:pt idx="4">
                  <c:v>-1.889238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Lmag_hcmqap!$B$19:$F$19</c:f>
              <c:numCache>
                <c:ptCount val="5"/>
                <c:pt idx="0">
                  <c:v>0.15160984800000002</c:v>
                </c:pt>
                <c:pt idx="1">
                  <c:v>-0.16880576</c:v>
                </c:pt>
                <c:pt idx="2">
                  <c:v>0.33271061</c:v>
                </c:pt>
                <c:pt idx="3">
                  <c:v>-0.32553832</c:v>
                </c:pt>
                <c:pt idx="4">
                  <c:v>-2.7701278</c:v>
                </c:pt>
              </c:numCache>
            </c:numRef>
          </c:val>
          <c:smooth val="0"/>
        </c:ser>
        <c:marker val="1"/>
        <c:axId val="8620314"/>
        <c:axId val="10473963"/>
      </c:lineChart>
      <c:catAx>
        <c:axId val="86203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862031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2852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2852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2852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2852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2852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1.2757920999999998E-05</v>
      </c>
      <c r="L2" s="55">
        <v>1.0764691311888111E-07</v>
      </c>
      <c r="M2" s="55">
        <v>8.264477500000001E-05</v>
      </c>
      <c r="N2" s="56">
        <v>4.8677860777649814E-08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-3.2753411E-05</v>
      </c>
      <c r="L3" s="55">
        <v>6.030037200733426E-08</v>
      </c>
      <c r="M3" s="55">
        <v>1.5160067E-05</v>
      </c>
      <c r="N3" s="56">
        <v>1.445057740230598E-07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-0.0022620928616496104</v>
      </c>
      <c r="L4" s="55">
        <v>-9.25640173703081E-06</v>
      </c>
      <c r="M4" s="55">
        <v>7.4089535163754E-08</v>
      </c>
      <c r="N4" s="56">
        <v>2.0459704000000003</v>
      </c>
    </row>
    <row r="5" spans="1:14" ht="15" customHeight="1" thickBot="1">
      <c r="A5" t="s">
        <v>18</v>
      </c>
      <c r="B5" s="59">
        <v>37972.279131944444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2852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7" t="s">
        <v>27</v>
      </c>
      <c r="B8" s="72" t="s">
        <v>28</v>
      </c>
      <c r="D8" s="77">
        <v>1.7357436</v>
      </c>
      <c r="E8" s="78">
        <v>0.018287289803021765</v>
      </c>
      <c r="F8" s="78">
        <v>-0.97289022</v>
      </c>
      <c r="G8" s="78">
        <v>0.024134417334063296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0.5466568949999999</v>
      </c>
      <c r="E9" s="80">
        <v>0.02645988290102892</v>
      </c>
      <c r="F9" s="80">
        <v>-0.052051745999999996</v>
      </c>
      <c r="G9" s="80">
        <v>0.013595688890459867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-0.48088429999999993</v>
      </c>
      <c r="E10" s="80">
        <v>0.01375393112433736</v>
      </c>
      <c r="F10" s="80">
        <v>0.15160984800000002</v>
      </c>
      <c r="G10" s="80">
        <v>0.011121978349512077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2.4457849</v>
      </c>
      <c r="E11" s="78">
        <v>0.010425257308079193</v>
      </c>
      <c r="F11" s="78">
        <v>0.33224023999999996</v>
      </c>
      <c r="G11" s="78">
        <v>0.006555190996943887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-0.029432629</v>
      </c>
      <c r="E12" s="80">
        <v>0.007304383100976696</v>
      </c>
      <c r="F12" s="80">
        <v>-0.171929393</v>
      </c>
      <c r="G12" s="80">
        <v>0.005194839320541403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18.600464</v>
      </c>
      <c r="D13" s="83">
        <v>0.03307351</v>
      </c>
      <c r="E13" s="80">
        <v>0.003547332337915317</v>
      </c>
      <c r="F13" s="80">
        <v>0.0497201053</v>
      </c>
      <c r="G13" s="80">
        <v>0.006436555621137082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-0.13650239000000003</v>
      </c>
      <c r="E14" s="80">
        <v>0.0027872287373650936</v>
      </c>
      <c r="F14" s="80">
        <v>0.11205838399999998</v>
      </c>
      <c r="G14" s="80">
        <v>0.0035289655425091862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-0.43110479999999995</v>
      </c>
      <c r="E15" s="78">
        <v>0.002418584877162081</v>
      </c>
      <c r="F15" s="78">
        <v>0.13575625000000002</v>
      </c>
      <c r="G15" s="78">
        <v>0.0022424934343260663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0.014050506400000001</v>
      </c>
      <c r="E16" s="80">
        <v>0.0013135149135768153</v>
      </c>
      <c r="F16" s="80">
        <v>-0.019686321</v>
      </c>
      <c r="G16" s="80">
        <v>0.00230102223218159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0.2160000056028366</v>
      </c>
      <c r="D17" s="83">
        <v>-0.018579695</v>
      </c>
      <c r="E17" s="80">
        <v>0.0017348019722982623</v>
      </c>
      <c r="F17" s="80">
        <v>-0.006319632389999999</v>
      </c>
      <c r="G17" s="80">
        <v>0.002169752470764725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2.5429999828338623</v>
      </c>
      <c r="D18" s="83">
        <v>0.01818320001</v>
      </c>
      <c r="E18" s="80">
        <v>0.001425418370300366</v>
      </c>
      <c r="F18" s="80">
        <v>0.06758170999999999</v>
      </c>
      <c r="G18" s="80">
        <v>0.0004154394262107518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0.16599999368190765</v>
      </c>
      <c r="D19" s="86">
        <v>-0.20833910000000003</v>
      </c>
      <c r="E19" s="80">
        <v>0.0014758400848288438</v>
      </c>
      <c r="F19" s="80">
        <v>0.021019502000000002</v>
      </c>
      <c r="G19" s="80">
        <v>0.0016905271954233314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0.09333</v>
      </c>
      <c r="D20" s="88">
        <v>0.0005743701000000001</v>
      </c>
      <c r="E20" s="89">
        <v>0.001465565070983694</v>
      </c>
      <c r="F20" s="89">
        <v>-0.00313111382</v>
      </c>
      <c r="G20" s="89">
        <v>0.0009246295812930397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0.6214599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0.11722556794489417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-2.2621118</v>
      </c>
      <c r="I25" s="101" t="s">
        <v>49</v>
      </c>
      <c r="J25" s="102"/>
      <c r="K25" s="101"/>
      <c r="L25" s="104">
        <v>2.468247830778601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1.989804318296804</v>
      </c>
      <c r="I26" s="106" t="s">
        <v>53</v>
      </c>
      <c r="J26" s="107"/>
      <c r="K26" s="106"/>
      <c r="L26" s="109">
        <v>0.45197467627855265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HCMQAP152_OV_pos1ap2res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5.8010861000000004E-05</v>
      </c>
      <c r="L2" s="55">
        <v>1.5949118512841757E-07</v>
      </c>
      <c r="M2" s="55">
        <v>0.000113466477</v>
      </c>
      <c r="N2" s="56">
        <v>1.3437505640787355E-07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-3.0186230999999997E-05</v>
      </c>
      <c r="L3" s="55">
        <v>1.476825919810612E-07</v>
      </c>
      <c r="M3" s="55">
        <v>1.3800182999999997E-05</v>
      </c>
      <c r="N3" s="56">
        <v>1.014882309728008E-07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-0.003740962921866762</v>
      </c>
      <c r="L4" s="55">
        <v>-3.7899907811381275E-05</v>
      </c>
      <c r="M4" s="55">
        <v>6.575058227081582E-08</v>
      </c>
      <c r="N4" s="56">
        <v>5.0653551</v>
      </c>
    </row>
    <row r="5" spans="1:14" ht="15" customHeight="1" thickBot="1">
      <c r="A5" t="s">
        <v>18</v>
      </c>
      <c r="B5" s="59">
        <v>37972.283541666664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2852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7" t="s">
        <v>27</v>
      </c>
      <c r="B8" s="72" t="s">
        <v>28</v>
      </c>
      <c r="D8" s="77">
        <v>-0.11288091289999999</v>
      </c>
      <c r="E8" s="78">
        <v>0.0076624937901795965</v>
      </c>
      <c r="F8" s="78">
        <v>-2.1529469999999997</v>
      </c>
      <c r="G8" s="78">
        <v>0.008729229662597508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-0.44151633000000007</v>
      </c>
      <c r="E9" s="80">
        <v>0.011058150747642853</v>
      </c>
      <c r="F9" s="80">
        <v>-1.3683583000000001</v>
      </c>
      <c r="G9" s="80">
        <v>0.009958356267944685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0.28603440999999996</v>
      </c>
      <c r="E10" s="80">
        <v>0.005518309252243509</v>
      </c>
      <c r="F10" s="80">
        <v>-0.16880576</v>
      </c>
      <c r="G10" s="80">
        <v>0.009981810256331006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2.1948195</v>
      </c>
      <c r="E11" s="78">
        <v>0.0036434570259129668</v>
      </c>
      <c r="F11" s="78">
        <v>-0.0594836861</v>
      </c>
      <c r="G11" s="78">
        <v>0.008542050612919638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0.0053216550000000015</v>
      </c>
      <c r="E12" s="80">
        <v>0.0025171536240623056</v>
      </c>
      <c r="F12" s="80">
        <v>-0.056938367999999996</v>
      </c>
      <c r="G12" s="80">
        <v>0.002604542732420967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18.823243</v>
      </c>
      <c r="D13" s="83">
        <v>-0.05078709899999999</v>
      </c>
      <c r="E13" s="80">
        <v>0.0017945497916203145</v>
      </c>
      <c r="F13" s="80">
        <v>-0.25698131</v>
      </c>
      <c r="G13" s="80">
        <v>0.0018333091251566517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-0.004478689</v>
      </c>
      <c r="E14" s="80">
        <v>0.003948441930475108</v>
      </c>
      <c r="F14" s="80">
        <v>0.054327733</v>
      </c>
      <c r="G14" s="80">
        <v>0.003223119658350564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-0.12625093</v>
      </c>
      <c r="E15" s="78">
        <v>0.002097498540548515</v>
      </c>
      <c r="F15" s="78">
        <v>0.0011721275829999999</v>
      </c>
      <c r="G15" s="78">
        <v>0.0033772059108216445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-0.000950318</v>
      </c>
      <c r="E16" s="80">
        <v>0.0011440672023076265</v>
      </c>
      <c r="F16" s="80">
        <v>0.013649278800000001</v>
      </c>
      <c r="G16" s="80">
        <v>0.0008803246656045287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-0.37400001287460327</v>
      </c>
      <c r="D17" s="83">
        <v>-0.010706368</v>
      </c>
      <c r="E17" s="80">
        <v>0.0018555973804211935</v>
      </c>
      <c r="F17" s="80">
        <v>-0.0211199786</v>
      </c>
      <c r="G17" s="80">
        <v>0.0019726838222092653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24.413999557495117</v>
      </c>
      <c r="D18" s="83">
        <v>0.032109065</v>
      </c>
      <c r="E18" s="80">
        <v>0.0010502583907686513</v>
      </c>
      <c r="F18" s="80">
        <v>0.060168725</v>
      </c>
      <c r="G18" s="80">
        <v>0.000930971665820519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-0.41499999165534973</v>
      </c>
      <c r="D19" s="86">
        <v>-0.19191061</v>
      </c>
      <c r="E19" s="80">
        <v>0.0004051019765360381</v>
      </c>
      <c r="F19" s="80">
        <v>0.017119998000000004</v>
      </c>
      <c r="G19" s="80">
        <v>0.0009617059376004104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0.2583716</v>
      </c>
      <c r="D20" s="88">
        <v>-0.005812041749999999</v>
      </c>
      <c r="E20" s="89">
        <v>0.00023684293331436434</v>
      </c>
      <c r="F20" s="89">
        <v>0.0007670863</v>
      </c>
      <c r="G20" s="89">
        <v>0.0009639359944679211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0.5182413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0.2902237141065511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-3.7411549</v>
      </c>
      <c r="I25" s="101" t="s">
        <v>49</v>
      </c>
      <c r="J25" s="102"/>
      <c r="K25" s="101"/>
      <c r="L25" s="104">
        <v>2.1956254112421574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2.15590419205171</v>
      </c>
      <c r="I26" s="106" t="s">
        <v>53</v>
      </c>
      <c r="J26" s="107"/>
      <c r="K26" s="106"/>
      <c r="L26" s="109">
        <v>0.12625637096374873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HCMQAP152_OV_pos2ap2res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6.9836172E-05</v>
      </c>
      <c r="L2" s="55">
        <v>1.2955078454823168E-07</v>
      </c>
      <c r="M2" s="55">
        <v>9.4828151E-05</v>
      </c>
      <c r="N2" s="56">
        <v>2.9272530074098516E-07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-2.8814065999999996E-05</v>
      </c>
      <c r="L3" s="55">
        <v>8.063242563783894E-08</v>
      </c>
      <c r="M3" s="55">
        <v>1.1399149000000001E-05</v>
      </c>
      <c r="N3" s="56">
        <v>9.984063949108633E-08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-0.0037413056978216294</v>
      </c>
      <c r="L4" s="55">
        <v>-4.326925319694312E-05</v>
      </c>
      <c r="M4" s="55">
        <v>7.946468595446795E-08</v>
      </c>
      <c r="N4" s="56">
        <v>5.7823829</v>
      </c>
    </row>
    <row r="5" spans="1:14" ht="15" customHeight="1" thickBot="1">
      <c r="A5" t="s">
        <v>18</v>
      </c>
      <c r="B5" s="59">
        <v>37972.288125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2852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7" t="s">
        <v>27</v>
      </c>
      <c r="B8" s="72" t="s">
        <v>28</v>
      </c>
      <c r="D8" s="77">
        <v>-0.53768005</v>
      </c>
      <c r="E8" s="78">
        <v>0.009542608906270882</v>
      </c>
      <c r="F8" s="78">
        <v>-0.18253267</v>
      </c>
      <c r="G8" s="78">
        <v>0.013229196578689106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0.314204391</v>
      </c>
      <c r="E9" s="80">
        <v>0.010526393421984241</v>
      </c>
      <c r="F9" s="80">
        <v>-2.209816</v>
      </c>
      <c r="G9" s="80">
        <v>0.005460016620887767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-0.078588475</v>
      </c>
      <c r="E10" s="80">
        <v>0.003267660359140556</v>
      </c>
      <c r="F10" s="80">
        <v>0.33271061</v>
      </c>
      <c r="G10" s="80">
        <v>0.00962022265466887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1.9418835</v>
      </c>
      <c r="E11" s="78">
        <v>0.004593803576491908</v>
      </c>
      <c r="F11" s="78">
        <v>0.21149486</v>
      </c>
      <c r="G11" s="78">
        <v>0.006909901008798832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-0.183212209</v>
      </c>
      <c r="E12" s="80">
        <v>0.0018102824364252524</v>
      </c>
      <c r="F12" s="80">
        <v>-0.156668149</v>
      </c>
      <c r="G12" s="80">
        <v>0.002738171926323124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19.06128</v>
      </c>
      <c r="D13" s="83">
        <v>0.187487062</v>
      </c>
      <c r="E13" s="80">
        <v>0.003496805089781632</v>
      </c>
      <c r="F13" s="80">
        <v>-0.34944583999999995</v>
      </c>
      <c r="G13" s="80">
        <v>0.002462270252111467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-0.062516559</v>
      </c>
      <c r="E14" s="80">
        <v>0.001921023658103759</v>
      </c>
      <c r="F14" s="80">
        <v>0.069957011</v>
      </c>
      <c r="G14" s="80">
        <v>0.0032277112883300667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-0.11680944099999999</v>
      </c>
      <c r="E15" s="78">
        <v>0.001253297725792737</v>
      </c>
      <c r="F15" s="78">
        <v>-0.029910614000000002</v>
      </c>
      <c r="G15" s="78">
        <v>0.0017679224019689968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-0.008525297</v>
      </c>
      <c r="E16" s="80">
        <v>0.003095314193599097</v>
      </c>
      <c r="F16" s="80">
        <v>0.00129042437</v>
      </c>
      <c r="G16" s="80">
        <v>0.0023103262009656856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0.47600001096725464</v>
      </c>
      <c r="D17" s="83">
        <v>-0.008683633000000001</v>
      </c>
      <c r="E17" s="80">
        <v>0.001234447462971183</v>
      </c>
      <c r="F17" s="80">
        <v>-0.035268738</v>
      </c>
      <c r="G17" s="80">
        <v>0.0012924156504491658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-1.0169999599456787</v>
      </c>
      <c r="D18" s="83">
        <v>0.03454489400000001</v>
      </c>
      <c r="E18" s="80">
        <v>0.0012441754771790451</v>
      </c>
      <c r="F18" s="80">
        <v>0.044614065</v>
      </c>
      <c r="G18" s="80">
        <v>0.000730886733091832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0.37299999594688416</v>
      </c>
      <c r="D19" s="86">
        <v>-0.19051988000000003</v>
      </c>
      <c r="E19" s="80">
        <v>0.0006989531118677737</v>
      </c>
      <c r="F19" s="80">
        <v>0.0101574772</v>
      </c>
      <c r="G19" s="80">
        <v>0.0007634386134349186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0.31229920000000005</v>
      </c>
      <c r="D20" s="88">
        <v>-0.0011310581</v>
      </c>
      <c r="E20" s="89">
        <v>0.0007540251058089114</v>
      </c>
      <c r="F20" s="89">
        <v>0.0037952021399999996</v>
      </c>
      <c r="G20" s="89">
        <v>0.0006222949874626822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0.43449789999999994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0.331306415541175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-3.7415559</v>
      </c>
      <c r="I25" s="101" t="s">
        <v>49</v>
      </c>
      <c r="J25" s="102"/>
      <c r="K25" s="101"/>
      <c r="L25" s="104">
        <v>1.9533667355053095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0.5678186433935851</v>
      </c>
      <c r="I26" s="106" t="s">
        <v>53</v>
      </c>
      <c r="J26" s="107"/>
      <c r="K26" s="106"/>
      <c r="L26" s="109">
        <v>0.12057815032828076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HCMQAP152_OV_pos3ap2res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4.1020588000000006E-05</v>
      </c>
      <c r="L2" s="55">
        <v>3.783286040125498E-08</v>
      </c>
      <c r="M2" s="55">
        <v>0.00012687456</v>
      </c>
      <c r="N2" s="56">
        <v>2.100191881583908E-07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-2.9652806000000005E-05</v>
      </c>
      <c r="L3" s="55">
        <v>1.090744919481632E-07</v>
      </c>
      <c r="M3" s="55">
        <v>9.900840000000003E-06</v>
      </c>
      <c r="N3" s="56">
        <v>1.0315738170380253E-07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-0.003741119905035503</v>
      </c>
      <c r="L4" s="55">
        <v>-3.545429217395995E-05</v>
      </c>
      <c r="M4" s="55">
        <v>6.917256967685911E-08</v>
      </c>
      <c r="N4" s="56">
        <v>4.7383179</v>
      </c>
    </row>
    <row r="5" spans="1:14" ht="15" customHeight="1" thickBot="1">
      <c r="A5" t="s">
        <v>18</v>
      </c>
      <c r="B5" s="59">
        <v>37972.292604166665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2852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7" t="s">
        <v>27</v>
      </c>
      <c r="B8" s="72" t="s">
        <v>28</v>
      </c>
      <c r="D8" s="77">
        <v>1.02912473</v>
      </c>
      <c r="E8" s="78">
        <v>0.005829701378881703</v>
      </c>
      <c r="F8" s="78">
        <v>-0.9134349</v>
      </c>
      <c r="G8" s="78">
        <v>0.015497222948479428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0.34504519399999994</v>
      </c>
      <c r="E9" s="80">
        <v>0.012010736239822043</v>
      </c>
      <c r="F9" s="80">
        <v>-0.76902931</v>
      </c>
      <c r="G9" s="80">
        <v>0.0065459786061732115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-0.41041636</v>
      </c>
      <c r="E10" s="80">
        <v>0.006085990290696992</v>
      </c>
      <c r="F10" s="80">
        <v>-0.32553832</v>
      </c>
      <c r="G10" s="80">
        <v>0.005431789164044154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1.8882115</v>
      </c>
      <c r="E11" s="78">
        <v>0.00428546862088121</v>
      </c>
      <c r="F11" s="78">
        <v>0.23974997</v>
      </c>
      <c r="G11" s="78">
        <v>0.004203464042144255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0.0820275783</v>
      </c>
      <c r="E12" s="80">
        <v>0.0020811665795149106</v>
      </c>
      <c r="F12" s="80">
        <v>-0.158914972</v>
      </c>
      <c r="G12" s="80">
        <v>0.0032529691846781314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19.274903</v>
      </c>
      <c r="D13" s="83">
        <v>-0.01832301</v>
      </c>
      <c r="E13" s="80">
        <v>0.002607753321345776</v>
      </c>
      <c r="F13" s="80">
        <v>-0.11600132999999999</v>
      </c>
      <c r="G13" s="80">
        <v>0.004716679689651808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-0.019018760200000002</v>
      </c>
      <c r="E14" s="80">
        <v>0.0026531594525998755</v>
      </c>
      <c r="F14" s="80">
        <v>-0.00440752</v>
      </c>
      <c r="G14" s="80">
        <v>0.0008363322042944418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-0.119719934</v>
      </c>
      <c r="E15" s="78">
        <v>0.0017780611333953352</v>
      </c>
      <c r="F15" s="78">
        <v>0.033651822000000005</v>
      </c>
      <c r="G15" s="78">
        <v>0.003219476172504746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-0.016289163000000002</v>
      </c>
      <c r="E16" s="80">
        <v>0.002004603542565464</v>
      </c>
      <c r="F16" s="80">
        <v>0.006486242200000001</v>
      </c>
      <c r="G16" s="80">
        <v>0.0012367703964250808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-0.1420000046491623</v>
      </c>
      <c r="D17" s="83">
        <v>-0.007141003</v>
      </c>
      <c r="E17" s="80">
        <v>0.0009227152663991205</v>
      </c>
      <c r="F17" s="80">
        <v>-0.009746418099999998</v>
      </c>
      <c r="G17" s="80">
        <v>0.002134770209094826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24.92300033569336</v>
      </c>
      <c r="D18" s="83">
        <v>0.0263758506</v>
      </c>
      <c r="E18" s="80">
        <v>0.0010544575601888588</v>
      </c>
      <c r="F18" s="80">
        <v>0.05950854099999999</v>
      </c>
      <c r="G18" s="80">
        <v>0.0011012020615237368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-0.18799999356269836</v>
      </c>
      <c r="D19" s="86">
        <v>-0.19409362</v>
      </c>
      <c r="E19" s="80">
        <v>0.0010765140429211753</v>
      </c>
      <c r="F19" s="80">
        <v>0.015831425</v>
      </c>
      <c r="G19" s="80">
        <v>0.0011614581611448897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0.1809181</v>
      </c>
      <c r="D20" s="88">
        <v>-0.00010114980000000009</v>
      </c>
      <c r="E20" s="89">
        <v>0.0005975208100649383</v>
      </c>
      <c r="F20" s="89">
        <v>-0.00284693251</v>
      </c>
      <c r="G20" s="89">
        <v>0.0001111477430592727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0.5782479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0.2714858469755761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-3.7412878999999997</v>
      </c>
      <c r="I25" s="101" t="s">
        <v>49</v>
      </c>
      <c r="J25" s="102"/>
      <c r="K25" s="101"/>
      <c r="L25" s="104">
        <v>1.9033714080145394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1.3760308958870011</v>
      </c>
      <c r="I26" s="106" t="s">
        <v>53</v>
      </c>
      <c r="J26" s="107"/>
      <c r="K26" s="106"/>
      <c r="L26" s="109">
        <v>0.1243595903856395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HCMQAP152_OV_pos4ap2res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3.104930965E-05</v>
      </c>
      <c r="L2" s="55">
        <v>3.118957753636405E-08</v>
      </c>
      <c r="M2" s="55">
        <v>9.034515800000001E-05</v>
      </c>
      <c r="N2" s="56">
        <v>6.542178189032397E-08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-3.175173635E-05</v>
      </c>
      <c r="L3" s="55">
        <v>1.2508078052475383E-07</v>
      </c>
      <c r="M3" s="55">
        <v>8.564100000000002E-06</v>
      </c>
      <c r="N3" s="56">
        <v>2.3409009062751452E-07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-0.002107989151026647</v>
      </c>
      <c r="L4" s="55">
        <v>-2.74907604936064E-05</v>
      </c>
      <c r="M4" s="55">
        <v>5.3191530042178224E-08</v>
      </c>
      <c r="N4" s="56">
        <v>6.5202428</v>
      </c>
    </row>
    <row r="5" spans="1:14" ht="15" customHeight="1" thickBot="1">
      <c r="A5" t="s">
        <v>18</v>
      </c>
      <c r="B5" s="59">
        <v>37972.29707175926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2852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7" t="s">
        <v>27</v>
      </c>
      <c r="B8" s="72" t="s">
        <v>28</v>
      </c>
      <c r="D8" s="114">
        <v>12.578309</v>
      </c>
      <c r="E8" s="78">
        <v>0.006801894881637704</v>
      </c>
      <c r="F8" s="115">
        <v>-40.457806000000005</v>
      </c>
      <c r="G8" s="78">
        <v>0.023570941937902094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-1.8137349</v>
      </c>
      <c r="E9" s="80">
        <v>0.02152330002440158</v>
      </c>
      <c r="F9" s="80">
        <v>-1.5609324</v>
      </c>
      <c r="G9" s="80">
        <v>0.034302326778800886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-1.889238</v>
      </c>
      <c r="E10" s="80">
        <v>0.01367449989352915</v>
      </c>
      <c r="F10" s="116">
        <v>-2.7701278</v>
      </c>
      <c r="G10" s="80">
        <v>0.011026971631379901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4">
        <v>14.439167000000001</v>
      </c>
      <c r="E11" s="78">
        <v>0.015930128248187653</v>
      </c>
      <c r="F11" s="78">
        <v>-1.10876454</v>
      </c>
      <c r="G11" s="78">
        <v>0.010406341801287527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-0.36944393000000003</v>
      </c>
      <c r="E12" s="80">
        <v>0.008352407892612504</v>
      </c>
      <c r="F12" s="116">
        <v>-1.6304523</v>
      </c>
      <c r="G12" s="80">
        <v>0.006602787067594292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19.451905</v>
      </c>
      <c r="D13" s="83">
        <v>-0.26707972</v>
      </c>
      <c r="E13" s="80">
        <v>0.004634498549639016</v>
      </c>
      <c r="F13" s="80">
        <v>0.15673444</v>
      </c>
      <c r="G13" s="80">
        <v>0.004296914340012203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-0.125757046</v>
      </c>
      <c r="E14" s="80">
        <v>0.003774937666577832</v>
      </c>
      <c r="F14" s="80">
        <v>-0.08625253783</v>
      </c>
      <c r="G14" s="80">
        <v>0.004509463577383255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-0.42880931</v>
      </c>
      <c r="E15" s="78">
        <v>0.002243433241793291</v>
      </c>
      <c r="F15" s="78">
        <v>0.17561262000000002</v>
      </c>
      <c r="G15" s="78">
        <v>0.0034376822719080573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-0.04036841624</v>
      </c>
      <c r="E16" s="80">
        <v>0.004731478246330646</v>
      </c>
      <c r="F16" s="80">
        <v>-0.05521808500000001</v>
      </c>
      <c r="G16" s="80">
        <v>0.0025840949081465995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0.45500001311302185</v>
      </c>
      <c r="D17" s="83">
        <v>-0.019794988</v>
      </c>
      <c r="E17" s="80">
        <v>0.0023171063933203383</v>
      </c>
      <c r="F17" s="80">
        <v>0.0110386527</v>
      </c>
      <c r="G17" s="80">
        <v>0.0019798987864185005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2.5429999828338623</v>
      </c>
      <c r="D18" s="83">
        <v>-0.0048287802000000005</v>
      </c>
      <c r="E18" s="80">
        <v>0.0025245219833289743</v>
      </c>
      <c r="F18" s="80">
        <v>0.047649175999999994</v>
      </c>
      <c r="G18" s="80">
        <v>0.0019452466123643256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0.38199999928474426</v>
      </c>
      <c r="D19" s="117">
        <v>-0.14952946</v>
      </c>
      <c r="E19" s="80">
        <v>0.0011330822743281011</v>
      </c>
      <c r="F19" s="80">
        <v>-0.024967399999999994</v>
      </c>
      <c r="G19" s="80">
        <v>0.0008594142059857807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0.24086559999999996</v>
      </c>
      <c r="D20" s="88">
        <v>-0.00251903921</v>
      </c>
      <c r="E20" s="89">
        <v>0.001333033680866353</v>
      </c>
      <c r="F20" s="89">
        <v>-0.00582786607</v>
      </c>
      <c r="G20" s="89">
        <v>0.0020891481937016635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0.7317309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0.37358270939237775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-2.1081684000000003</v>
      </c>
      <c r="I25" s="101" t="s">
        <v>49</v>
      </c>
      <c r="J25" s="102"/>
      <c r="K25" s="101"/>
      <c r="L25" s="104">
        <v>14.481674711822885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42.368005896349636</v>
      </c>
      <c r="I26" s="106" t="s">
        <v>53</v>
      </c>
      <c r="J26" s="107"/>
      <c r="K26" s="106"/>
      <c r="L26" s="109">
        <v>0.4633758913084932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HCMQAP152_OV_pos5ap2res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C1" sqref="C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0" t="s">
        <v>120</v>
      </c>
      <c r="B1" s="132" t="s">
        <v>191</v>
      </c>
      <c r="C1" s="122" t="s">
        <v>73</v>
      </c>
      <c r="D1" s="122" t="s">
        <v>76</v>
      </c>
      <c r="E1" s="122" t="s">
        <v>78</v>
      </c>
      <c r="F1" s="129" t="s">
        <v>81</v>
      </c>
      <c r="G1" s="165" t="s">
        <v>121</v>
      </c>
    </row>
    <row r="2" spans="1:7" ht="13.5" thickBot="1">
      <c r="A2" s="141" t="s">
        <v>90</v>
      </c>
      <c r="B2" s="133">
        <v>-2.2621118</v>
      </c>
      <c r="C2" s="124">
        <v>-3.7411549</v>
      </c>
      <c r="D2" s="124">
        <v>-3.7415559</v>
      </c>
      <c r="E2" s="124">
        <v>-3.7412878999999997</v>
      </c>
      <c r="F2" s="130">
        <v>-2.1081684000000003</v>
      </c>
      <c r="G2" s="166">
        <v>3.1256640506676114</v>
      </c>
    </row>
    <row r="3" spans="1:7" ht="14.25" thickBot="1" thickTop="1">
      <c r="A3" s="149" t="s">
        <v>89</v>
      </c>
      <c r="B3" s="150" t="s">
        <v>84</v>
      </c>
      <c r="C3" s="151" t="s">
        <v>85</v>
      </c>
      <c r="D3" s="151" t="s">
        <v>86</v>
      </c>
      <c r="E3" s="151" t="s">
        <v>87</v>
      </c>
      <c r="F3" s="152" t="s">
        <v>88</v>
      </c>
      <c r="G3" s="160" t="s">
        <v>122</v>
      </c>
    </row>
    <row r="4" spans="1:7" ht="12.75">
      <c r="A4" s="146" t="s">
        <v>91</v>
      </c>
      <c r="B4" s="147">
        <v>1.7357436</v>
      </c>
      <c r="C4" s="148">
        <v>-0.11288091289999999</v>
      </c>
      <c r="D4" s="148">
        <v>-0.53768005</v>
      </c>
      <c r="E4" s="148">
        <v>1.02912473</v>
      </c>
      <c r="F4" s="153">
        <v>12.578309</v>
      </c>
      <c r="G4" s="161">
        <v>2.04304583745182</v>
      </c>
    </row>
    <row r="5" spans="1:7" ht="12.75">
      <c r="A5" s="141" t="s">
        <v>93</v>
      </c>
      <c r="B5" s="135">
        <v>0.5466568949999999</v>
      </c>
      <c r="C5" s="119">
        <v>-0.44151633000000007</v>
      </c>
      <c r="D5" s="119">
        <v>0.314204391</v>
      </c>
      <c r="E5" s="119">
        <v>0.34504519399999994</v>
      </c>
      <c r="F5" s="154">
        <v>-1.8137349</v>
      </c>
      <c r="G5" s="162">
        <v>-0.11365154361953267</v>
      </c>
    </row>
    <row r="6" spans="1:7" ht="12.75">
      <c r="A6" s="141" t="s">
        <v>95</v>
      </c>
      <c r="B6" s="135">
        <v>-0.48088429999999993</v>
      </c>
      <c r="C6" s="119">
        <v>0.28603440999999996</v>
      </c>
      <c r="D6" s="119">
        <v>-0.078588475</v>
      </c>
      <c r="E6" s="119">
        <v>-0.41041636</v>
      </c>
      <c r="F6" s="154">
        <v>-1.889238</v>
      </c>
      <c r="G6" s="162">
        <v>-0.37385991605819796</v>
      </c>
    </row>
    <row r="7" spans="1:7" ht="12.75">
      <c r="A7" s="141" t="s">
        <v>97</v>
      </c>
      <c r="B7" s="134">
        <v>2.4457849</v>
      </c>
      <c r="C7" s="118">
        <v>2.1948195</v>
      </c>
      <c r="D7" s="118">
        <v>1.9418835</v>
      </c>
      <c r="E7" s="118">
        <v>1.8882115</v>
      </c>
      <c r="F7" s="155">
        <v>14.439167000000001</v>
      </c>
      <c r="G7" s="162">
        <v>3.7522737075995014</v>
      </c>
    </row>
    <row r="8" spans="1:7" ht="12.75">
      <c r="A8" s="141" t="s">
        <v>99</v>
      </c>
      <c r="B8" s="135">
        <v>-0.029432629</v>
      </c>
      <c r="C8" s="119">
        <v>0.0053216550000000015</v>
      </c>
      <c r="D8" s="119">
        <v>-0.183212209</v>
      </c>
      <c r="E8" s="119">
        <v>0.0820275783</v>
      </c>
      <c r="F8" s="154">
        <v>-0.36944393000000003</v>
      </c>
      <c r="G8" s="162">
        <v>-0.07721618444699392</v>
      </c>
    </row>
    <row r="9" spans="1:7" ht="12.75">
      <c r="A9" s="141" t="s">
        <v>101</v>
      </c>
      <c r="B9" s="135">
        <v>0.03307351</v>
      </c>
      <c r="C9" s="119">
        <v>-0.05078709899999999</v>
      </c>
      <c r="D9" s="119">
        <v>0.187487062</v>
      </c>
      <c r="E9" s="119">
        <v>-0.01832301</v>
      </c>
      <c r="F9" s="154">
        <v>-0.26707972</v>
      </c>
      <c r="G9" s="162">
        <v>-0.0029045129898169417</v>
      </c>
    </row>
    <row r="10" spans="1:7" ht="12.75">
      <c r="A10" s="141" t="s">
        <v>103</v>
      </c>
      <c r="B10" s="135">
        <v>-0.13650239000000003</v>
      </c>
      <c r="C10" s="119">
        <v>-0.004478689</v>
      </c>
      <c r="D10" s="119">
        <v>-0.062516559</v>
      </c>
      <c r="E10" s="119">
        <v>-0.019018760200000002</v>
      </c>
      <c r="F10" s="154">
        <v>-0.125757046</v>
      </c>
      <c r="G10" s="162">
        <v>-0.05743901530984446</v>
      </c>
    </row>
    <row r="11" spans="1:7" ht="12.75">
      <c r="A11" s="141" t="s">
        <v>105</v>
      </c>
      <c r="B11" s="134">
        <v>-0.43110479999999995</v>
      </c>
      <c r="C11" s="118">
        <v>-0.12625093</v>
      </c>
      <c r="D11" s="118">
        <v>-0.11680944099999999</v>
      </c>
      <c r="E11" s="118">
        <v>-0.119719934</v>
      </c>
      <c r="F11" s="156">
        <v>-0.42880931</v>
      </c>
      <c r="G11" s="162">
        <v>-0.2075433940774108</v>
      </c>
    </row>
    <row r="12" spans="1:7" ht="12.75">
      <c r="A12" s="141" t="s">
        <v>107</v>
      </c>
      <c r="B12" s="135">
        <v>0.014050506400000001</v>
      </c>
      <c r="C12" s="119">
        <v>-0.000950318</v>
      </c>
      <c r="D12" s="119">
        <v>-0.008525297</v>
      </c>
      <c r="E12" s="119">
        <v>-0.016289163000000002</v>
      </c>
      <c r="F12" s="154">
        <v>-0.04036841624</v>
      </c>
      <c r="G12" s="162">
        <v>-0.00960064999970518</v>
      </c>
    </row>
    <row r="13" spans="1:7" ht="12.75">
      <c r="A13" s="141" t="s">
        <v>109</v>
      </c>
      <c r="B13" s="135">
        <v>-0.018579695</v>
      </c>
      <c r="C13" s="119">
        <v>-0.010706368</v>
      </c>
      <c r="D13" s="119">
        <v>-0.008683633000000001</v>
      </c>
      <c r="E13" s="119">
        <v>-0.007141003</v>
      </c>
      <c r="F13" s="154">
        <v>-0.019794988</v>
      </c>
      <c r="G13" s="162">
        <v>-0.011736454385629324</v>
      </c>
    </row>
    <row r="14" spans="1:7" ht="12.75">
      <c r="A14" s="141" t="s">
        <v>111</v>
      </c>
      <c r="B14" s="135">
        <v>0.01818320001</v>
      </c>
      <c r="C14" s="119">
        <v>0.032109065</v>
      </c>
      <c r="D14" s="119">
        <v>0.03454489400000001</v>
      </c>
      <c r="E14" s="119">
        <v>0.0263758506</v>
      </c>
      <c r="F14" s="154">
        <v>-0.0048287802000000005</v>
      </c>
      <c r="G14" s="162">
        <v>0.024304351642571064</v>
      </c>
    </row>
    <row r="15" spans="1:7" ht="12.75">
      <c r="A15" s="141" t="s">
        <v>113</v>
      </c>
      <c r="B15" s="136">
        <v>-0.20833910000000003</v>
      </c>
      <c r="C15" s="120">
        <v>-0.19191061</v>
      </c>
      <c r="D15" s="120">
        <v>-0.19051988000000003</v>
      </c>
      <c r="E15" s="120">
        <v>-0.19409362</v>
      </c>
      <c r="F15" s="157">
        <v>-0.14952946</v>
      </c>
      <c r="G15" s="163">
        <v>-0.18875434060438817</v>
      </c>
    </row>
    <row r="16" spans="1:7" ht="12.75">
      <c r="A16" s="141" t="s">
        <v>115</v>
      </c>
      <c r="B16" s="135">
        <v>0.0005743701000000001</v>
      </c>
      <c r="C16" s="119">
        <v>-0.005812041749999999</v>
      </c>
      <c r="D16" s="119">
        <v>-0.0011310581</v>
      </c>
      <c r="E16" s="119">
        <v>-0.00010114980000000009</v>
      </c>
      <c r="F16" s="154">
        <v>-0.00251903921</v>
      </c>
      <c r="G16" s="162">
        <v>-0.0019472119087371247</v>
      </c>
    </row>
    <row r="17" spans="1:7" ht="12.75">
      <c r="A17" s="141" t="s">
        <v>92</v>
      </c>
      <c r="B17" s="134">
        <v>-0.97289022</v>
      </c>
      <c r="C17" s="118">
        <v>-2.1529469999999997</v>
      </c>
      <c r="D17" s="118">
        <v>-0.18253267</v>
      </c>
      <c r="E17" s="118">
        <v>-0.9134349</v>
      </c>
      <c r="F17" s="155">
        <v>-40.457806000000005</v>
      </c>
      <c r="G17" s="163">
        <v>-6.390006397472876</v>
      </c>
    </row>
    <row r="18" spans="1:7" ht="12.75">
      <c r="A18" s="141" t="s">
        <v>94</v>
      </c>
      <c r="B18" s="135">
        <v>-0.052051745999999996</v>
      </c>
      <c r="C18" s="119">
        <v>-1.3683583000000001</v>
      </c>
      <c r="D18" s="119">
        <v>-2.209816</v>
      </c>
      <c r="E18" s="119">
        <v>-0.76902931</v>
      </c>
      <c r="F18" s="154">
        <v>-1.5609324</v>
      </c>
      <c r="G18" s="162">
        <v>-1.2615527693952417</v>
      </c>
    </row>
    <row r="19" spans="1:7" ht="12.75">
      <c r="A19" s="141" t="s">
        <v>96</v>
      </c>
      <c r="B19" s="135">
        <v>0.15160984800000002</v>
      </c>
      <c r="C19" s="119">
        <v>-0.16880576</v>
      </c>
      <c r="D19" s="119">
        <v>0.33271061</v>
      </c>
      <c r="E19" s="119">
        <v>-0.32553832</v>
      </c>
      <c r="F19" s="158">
        <v>-2.7701278</v>
      </c>
      <c r="G19" s="162">
        <v>-0.39126805624214966</v>
      </c>
    </row>
    <row r="20" spans="1:7" ht="12.75">
      <c r="A20" s="141" t="s">
        <v>98</v>
      </c>
      <c r="B20" s="134">
        <v>0.33224023999999996</v>
      </c>
      <c r="C20" s="118">
        <v>-0.0594836861</v>
      </c>
      <c r="D20" s="118">
        <v>0.21149486</v>
      </c>
      <c r="E20" s="118">
        <v>0.23974997</v>
      </c>
      <c r="F20" s="156">
        <v>-1.10876454</v>
      </c>
      <c r="G20" s="162">
        <v>-0.00770423437878517</v>
      </c>
    </row>
    <row r="21" spans="1:7" ht="12.75">
      <c r="A21" s="141" t="s">
        <v>100</v>
      </c>
      <c r="B21" s="135">
        <v>-0.171929393</v>
      </c>
      <c r="C21" s="119">
        <v>-0.056938367999999996</v>
      </c>
      <c r="D21" s="119">
        <v>-0.156668149</v>
      </c>
      <c r="E21" s="119">
        <v>-0.158914972</v>
      </c>
      <c r="F21" s="158">
        <v>-1.6304523</v>
      </c>
      <c r="G21" s="162">
        <v>-0.33473404652177463</v>
      </c>
    </row>
    <row r="22" spans="1:7" ht="12.75">
      <c r="A22" s="141" t="s">
        <v>102</v>
      </c>
      <c r="B22" s="135">
        <v>0.0497201053</v>
      </c>
      <c r="C22" s="119">
        <v>-0.25698131</v>
      </c>
      <c r="D22" s="119">
        <v>-0.34944583999999995</v>
      </c>
      <c r="E22" s="119">
        <v>-0.11600132999999999</v>
      </c>
      <c r="F22" s="154">
        <v>0.15673444</v>
      </c>
      <c r="G22" s="162">
        <v>-0.14492349327638443</v>
      </c>
    </row>
    <row r="23" spans="1:7" ht="12.75">
      <c r="A23" s="141" t="s">
        <v>104</v>
      </c>
      <c r="B23" s="135">
        <v>0.11205838399999998</v>
      </c>
      <c r="C23" s="119">
        <v>0.054327733</v>
      </c>
      <c r="D23" s="119">
        <v>0.069957011</v>
      </c>
      <c r="E23" s="119">
        <v>-0.00440752</v>
      </c>
      <c r="F23" s="154">
        <v>-0.08625253783</v>
      </c>
      <c r="G23" s="162">
        <v>0.03335585133016757</v>
      </c>
    </row>
    <row r="24" spans="1:7" ht="12.75">
      <c r="A24" s="141" t="s">
        <v>106</v>
      </c>
      <c r="B24" s="134">
        <v>0.13575625000000002</v>
      </c>
      <c r="C24" s="118">
        <v>0.0011721275829999999</v>
      </c>
      <c r="D24" s="118">
        <v>-0.029910614000000002</v>
      </c>
      <c r="E24" s="118">
        <v>0.033651822000000005</v>
      </c>
      <c r="F24" s="156">
        <v>0.17561262000000002</v>
      </c>
      <c r="G24" s="162">
        <v>0.04461192637780481</v>
      </c>
    </row>
    <row r="25" spans="1:7" ht="12.75">
      <c r="A25" s="141" t="s">
        <v>108</v>
      </c>
      <c r="B25" s="135">
        <v>-0.019686321</v>
      </c>
      <c r="C25" s="119">
        <v>0.013649278800000001</v>
      </c>
      <c r="D25" s="119">
        <v>0.00129042437</v>
      </c>
      <c r="E25" s="119">
        <v>0.006486242200000001</v>
      </c>
      <c r="F25" s="154">
        <v>-0.05521808500000001</v>
      </c>
      <c r="G25" s="162">
        <v>-0.0051802664821974575</v>
      </c>
    </row>
    <row r="26" spans="1:7" ht="12.75">
      <c r="A26" s="141" t="s">
        <v>110</v>
      </c>
      <c r="B26" s="135">
        <v>-0.006319632389999999</v>
      </c>
      <c r="C26" s="119">
        <v>-0.0211199786</v>
      </c>
      <c r="D26" s="119">
        <v>-0.035268738</v>
      </c>
      <c r="E26" s="119">
        <v>-0.009746418099999998</v>
      </c>
      <c r="F26" s="154">
        <v>0.0110386527</v>
      </c>
      <c r="G26" s="162">
        <v>-0.015291607903907429</v>
      </c>
    </row>
    <row r="27" spans="1:7" ht="12.75">
      <c r="A27" s="141" t="s">
        <v>112</v>
      </c>
      <c r="B27" s="135">
        <v>0.06758170999999999</v>
      </c>
      <c r="C27" s="119">
        <v>0.060168725</v>
      </c>
      <c r="D27" s="119">
        <v>0.044614065</v>
      </c>
      <c r="E27" s="119">
        <v>0.05950854099999999</v>
      </c>
      <c r="F27" s="154">
        <v>0.047649175999999994</v>
      </c>
      <c r="G27" s="162">
        <v>0.05566111772302638</v>
      </c>
    </row>
    <row r="28" spans="1:7" ht="12.75">
      <c r="A28" s="141" t="s">
        <v>114</v>
      </c>
      <c r="B28" s="135">
        <v>0.021019502000000002</v>
      </c>
      <c r="C28" s="119">
        <v>0.017119998000000004</v>
      </c>
      <c r="D28" s="119">
        <v>0.0101574772</v>
      </c>
      <c r="E28" s="119">
        <v>0.015831425</v>
      </c>
      <c r="F28" s="154">
        <v>-0.024967399999999994</v>
      </c>
      <c r="G28" s="162">
        <v>0.010016252289734719</v>
      </c>
    </row>
    <row r="29" spans="1:7" ht="13.5" thickBot="1">
      <c r="A29" s="142" t="s">
        <v>116</v>
      </c>
      <c r="B29" s="137">
        <v>-0.00313111382</v>
      </c>
      <c r="C29" s="121">
        <v>0.0007670863</v>
      </c>
      <c r="D29" s="121">
        <v>0.0037952021399999996</v>
      </c>
      <c r="E29" s="121">
        <v>-0.00284693251</v>
      </c>
      <c r="F29" s="159">
        <v>-0.00582786607</v>
      </c>
      <c r="G29" s="164">
        <v>-0.000830464634743284</v>
      </c>
    </row>
    <row r="30" spans="1:7" ht="13.5" thickTop="1">
      <c r="A30" s="143" t="s">
        <v>117</v>
      </c>
      <c r="B30" s="138">
        <v>0.11722556794489417</v>
      </c>
      <c r="C30" s="127">
        <v>0.2902237141065511</v>
      </c>
      <c r="D30" s="127">
        <v>0.331306415541175</v>
      </c>
      <c r="E30" s="127">
        <v>0.2714858469755761</v>
      </c>
      <c r="F30" s="123">
        <v>0.37358270939237775</v>
      </c>
      <c r="G30" s="165" t="s">
        <v>128</v>
      </c>
    </row>
    <row r="31" spans="1:7" ht="13.5" thickBot="1">
      <c r="A31" s="144" t="s">
        <v>118</v>
      </c>
      <c r="B31" s="133">
        <v>18.600464</v>
      </c>
      <c r="C31" s="124">
        <v>18.823243</v>
      </c>
      <c r="D31" s="124">
        <v>19.06128</v>
      </c>
      <c r="E31" s="124">
        <v>19.274903</v>
      </c>
      <c r="F31" s="125">
        <v>19.451905</v>
      </c>
      <c r="G31" s="167">
        <v>-208.99</v>
      </c>
    </row>
    <row r="32" spans="1:7" ht="15.75" thickBot="1" thickTop="1">
      <c r="A32" s="145" t="s">
        <v>119</v>
      </c>
      <c r="B32" s="139">
        <v>0.19099999964237213</v>
      </c>
      <c r="C32" s="128">
        <v>-0.3945000022649765</v>
      </c>
      <c r="D32" s="128">
        <v>0.4245000034570694</v>
      </c>
      <c r="E32" s="128">
        <v>-0.16499999910593033</v>
      </c>
      <c r="F32" s="126">
        <v>0.41850000619888306</v>
      </c>
      <c r="G32" s="131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4.16015625" style="168" bestFit="1" customWidth="1"/>
    <col min="2" max="2" width="14.83203125" style="168" bestFit="1" customWidth="1"/>
    <col min="3" max="3" width="15.33203125" style="168" bestFit="1" customWidth="1"/>
    <col min="4" max="4" width="16" style="168" bestFit="1" customWidth="1"/>
    <col min="5" max="5" width="22.16015625" style="168" bestFit="1" customWidth="1"/>
    <col min="6" max="6" width="14.83203125" style="168" bestFit="1" customWidth="1"/>
    <col min="7" max="7" width="15.33203125" style="168" bestFit="1" customWidth="1"/>
    <col min="8" max="8" width="14.16015625" style="168" bestFit="1" customWidth="1"/>
    <col min="9" max="9" width="14.83203125" style="168" bestFit="1" customWidth="1"/>
    <col min="10" max="10" width="8.16015625" style="168" bestFit="1" customWidth="1"/>
    <col min="11" max="11" width="15" style="168" bestFit="1" customWidth="1"/>
    <col min="12" max="16384" width="10.66015625" style="168" customWidth="1"/>
  </cols>
  <sheetData>
    <row r="1" spans="1:5" ht="12.75">
      <c r="A1" s="168" t="s">
        <v>129</v>
      </c>
      <c r="B1" s="168" t="s">
        <v>130</v>
      </c>
      <c r="C1" s="170" t="s">
        <v>192</v>
      </c>
      <c r="D1" s="168" t="s">
        <v>131</v>
      </c>
      <c r="E1" s="168" t="s">
        <v>28</v>
      </c>
    </row>
    <row r="3" spans="1:7" ht="12.75">
      <c r="A3" s="168" t="s">
        <v>132</v>
      </c>
      <c r="B3" s="168" t="s">
        <v>84</v>
      </c>
      <c r="C3" s="168" t="s">
        <v>85</v>
      </c>
      <c r="D3" s="168" t="s">
        <v>86</v>
      </c>
      <c r="E3" s="168" t="s">
        <v>87</v>
      </c>
      <c r="F3" s="168" t="s">
        <v>88</v>
      </c>
      <c r="G3" s="168" t="s">
        <v>133</v>
      </c>
    </row>
    <row r="4" spans="1:7" ht="12.75">
      <c r="A4" s="168" t="s">
        <v>134</v>
      </c>
      <c r="B4" s="168">
        <f>0.00226*1.0033</f>
        <v>0.002267458</v>
      </c>
      <c r="C4" s="168">
        <f>0.003737*1.0033</f>
        <v>0.0037493321000000002</v>
      </c>
      <c r="D4" s="168">
        <f>0.003737*1.0033</f>
        <v>0.0037493321000000002</v>
      </c>
      <c r="E4" s="168">
        <f>0.003737*1.0033</f>
        <v>0.0037493321000000002</v>
      </c>
      <c r="F4" s="168">
        <f>0.002106*1.0033</f>
        <v>0.0021129498</v>
      </c>
      <c r="G4" s="168">
        <f>0.011681*1.0033</f>
        <v>0.0117195473</v>
      </c>
    </row>
    <row r="5" spans="1:7" ht="12.75">
      <c r="A5" s="168" t="s">
        <v>135</v>
      </c>
      <c r="B5" s="168">
        <v>2.558058</v>
      </c>
      <c r="C5" s="168">
        <v>-0.243662</v>
      </c>
      <c r="D5" s="168">
        <v>-0.402566</v>
      </c>
      <c r="E5" s="168">
        <v>-0.129772</v>
      </c>
      <c r="F5" s="168">
        <v>-1.379096</v>
      </c>
      <c r="G5" s="168">
        <v>4.999755</v>
      </c>
    </row>
    <row r="6" spans="1:7" ht="12.75">
      <c r="A6" s="168" t="s">
        <v>136</v>
      </c>
      <c r="B6" s="169">
        <v>78.39437</v>
      </c>
      <c r="C6" s="169">
        <v>-18.65325</v>
      </c>
      <c r="D6" s="169">
        <v>-50.23649</v>
      </c>
      <c r="E6" s="169">
        <v>26.79124</v>
      </c>
      <c r="F6" s="169">
        <v>-9.374396</v>
      </c>
      <c r="G6" s="169">
        <v>0.003546934</v>
      </c>
    </row>
    <row r="7" spans="1:7" ht="12.75">
      <c r="A7" s="168" t="s">
        <v>137</v>
      </c>
      <c r="B7" s="169">
        <v>10000</v>
      </c>
      <c r="C7" s="169">
        <v>10000</v>
      </c>
      <c r="D7" s="169">
        <v>10000</v>
      </c>
      <c r="E7" s="169">
        <v>10000</v>
      </c>
      <c r="F7" s="169">
        <v>10000</v>
      </c>
      <c r="G7" s="169">
        <v>10000</v>
      </c>
    </row>
    <row r="8" spans="1:7" ht="12.75">
      <c r="A8" s="168" t="s">
        <v>91</v>
      </c>
      <c r="B8" s="169">
        <v>1.739199</v>
      </c>
      <c r="C8" s="169">
        <v>-0.1067278</v>
      </c>
      <c r="D8" s="169">
        <v>-0.4989115</v>
      </c>
      <c r="E8" s="169">
        <v>1.022851</v>
      </c>
      <c r="F8" s="169">
        <v>12.35357</v>
      </c>
      <c r="G8" s="169">
        <v>2.022867</v>
      </c>
    </row>
    <row r="9" spans="1:7" ht="12.75">
      <c r="A9" s="168" t="s">
        <v>93</v>
      </c>
      <c r="B9" s="169">
        <v>0.5333838</v>
      </c>
      <c r="C9" s="169">
        <v>-0.4428703</v>
      </c>
      <c r="D9" s="169">
        <v>0.3028097</v>
      </c>
      <c r="E9" s="169">
        <v>0.3392658</v>
      </c>
      <c r="F9" s="169">
        <v>-1.973064</v>
      </c>
      <c r="G9" s="169">
        <v>-0.1416259</v>
      </c>
    </row>
    <row r="10" spans="1:7" ht="12.75">
      <c r="A10" s="168" t="s">
        <v>95</v>
      </c>
      <c r="B10" s="169">
        <v>-0.3707583</v>
      </c>
      <c r="C10" s="169">
        <v>0.2704228</v>
      </c>
      <c r="D10" s="169">
        <v>-0.1299117</v>
      </c>
      <c r="E10" s="169">
        <v>-0.3787387</v>
      </c>
      <c r="F10" s="169">
        <v>-2.015972</v>
      </c>
      <c r="G10" s="169">
        <v>-0.3835359</v>
      </c>
    </row>
    <row r="11" spans="1:7" ht="12.75">
      <c r="A11" s="168" t="s">
        <v>97</v>
      </c>
      <c r="B11" s="169">
        <v>2.445115</v>
      </c>
      <c r="C11" s="169">
        <v>2.202335</v>
      </c>
      <c r="D11" s="169">
        <v>1.960081</v>
      </c>
      <c r="E11" s="169">
        <v>1.894235</v>
      </c>
      <c r="F11" s="169">
        <v>14.34016</v>
      </c>
      <c r="G11" s="169">
        <v>3.746816</v>
      </c>
    </row>
    <row r="12" spans="1:7" ht="12.75">
      <c r="A12" s="168" t="s">
        <v>99</v>
      </c>
      <c r="B12" s="169">
        <v>-0.03428325</v>
      </c>
      <c r="C12" s="169">
        <v>0.003739869</v>
      </c>
      <c r="D12" s="169">
        <v>-0.1787434</v>
      </c>
      <c r="E12" s="169">
        <v>0.07398428</v>
      </c>
      <c r="F12" s="169">
        <v>-0.3894882</v>
      </c>
      <c r="G12" s="169">
        <v>-0.08187438</v>
      </c>
    </row>
    <row r="13" spans="1:7" ht="12.75">
      <c r="A13" s="168" t="s">
        <v>101</v>
      </c>
      <c r="B13" s="169">
        <v>0.0228629</v>
      </c>
      <c r="C13" s="169">
        <v>-0.05482784</v>
      </c>
      <c r="D13" s="169">
        <v>0.1824476</v>
      </c>
      <c r="E13" s="169">
        <v>-0.02141605</v>
      </c>
      <c r="F13" s="169">
        <v>-0.2712015</v>
      </c>
      <c r="G13" s="169">
        <v>-0.007872223</v>
      </c>
    </row>
    <row r="14" spans="1:7" ht="12.75">
      <c r="A14" s="168" t="s">
        <v>103</v>
      </c>
      <c r="B14" s="169">
        <v>-0.1596297</v>
      </c>
      <c r="C14" s="169">
        <v>-0.0006066454</v>
      </c>
      <c r="D14" s="169">
        <v>-0.05324494</v>
      </c>
      <c r="E14" s="169">
        <v>-0.01973999</v>
      </c>
      <c r="F14" s="169">
        <v>-0.09789143</v>
      </c>
      <c r="G14" s="169">
        <v>-0.05404842</v>
      </c>
    </row>
    <row r="15" spans="1:7" ht="12.75">
      <c r="A15" s="168" t="s">
        <v>105</v>
      </c>
      <c r="B15" s="169">
        <v>-0.4379095</v>
      </c>
      <c r="C15" s="169">
        <v>-0.1292283</v>
      </c>
      <c r="D15" s="169">
        <v>-0.119368</v>
      </c>
      <c r="E15" s="169">
        <v>-0.1228067</v>
      </c>
      <c r="F15" s="169">
        <v>-0.4363427</v>
      </c>
      <c r="G15" s="169">
        <v>-0.2116269</v>
      </c>
    </row>
    <row r="16" spans="1:7" ht="12.75">
      <c r="A16" s="168" t="s">
        <v>107</v>
      </c>
      <c r="B16" s="169">
        <v>0.00859588</v>
      </c>
      <c r="C16" s="169">
        <v>-0.001553301</v>
      </c>
      <c r="D16" s="169">
        <v>-0.006694482</v>
      </c>
      <c r="E16" s="169">
        <v>-0.01861546</v>
      </c>
      <c r="F16" s="169">
        <v>-0.04926497</v>
      </c>
      <c r="G16" s="169">
        <v>-0.01185954</v>
      </c>
    </row>
    <row r="17" spans="1:7" ht="12.75">
      <c r="A17" s="168" t="s">
        <v>109</v>
      </c>
      <c r="B17" s="169">
        <v>-0.01263995</v>
      </c>
      <c r="C17" s="169">
        <v>-0.01234391</v>
      </c>
      <c r="D17" s="169">
        <v>-0.01390796</v>
      </c>
      <c r="E17" s="169">
        <v>-0.004500536</v>
      </c>
      <c r="F17" s="169">
        <v>-0.01215005</v>
      </c>
      <c r="G17" s="169">
        <v>-0.01085391</v>
      </c>
    </row>
    <row r="18" spans="1:7" ht="12.75">
      <c r="A18" s="168" t="s">
        <v>111</v>
      </c>
      <c r="B18" s="169">
        <v>0.01008555</v>
      </c>
      <c r="C18" s="169">
        <v>0.03383782</v>
      </c>
      <c r="D18" s="169">
        <v>0.03855168</v>
      </c>
      <c r="E18" s="169">
        <v>0.02471915</v>
      </c>
      <c r="F18" s="169">
        <v>-0.003331069</v>
      </c>
      <c r="G18" s="169">
        <v>0.02430859</v>
      </c>
    </row>
    <row r="19" spans="1:7" ht="12.75">
      <c r="A19" s="168" t="s">
        <v>113</v>
      </c>
      <c r="B19" s="169">
        <v>-0.2088908</v>
      </c>
      <c r="C19" s="169">
        <v>-0.1918121</v>
      </c>
      <c r="D19" s="169">
        <v>-0.1904393</v>
      </c>
      <c r="E19" s="169">
        <v>-0.1940072</v>
      </c>
      <c r="F19" s="169">
        <v>-0.1499696</v>
      </c>
      <c r="G19" s="169">
        <v>-0.1888289</v>
      </c>
    </row>
    <row r="20" spans="1:7" ht="12.75">
      <c r="A20" s="168" t="s">
        <v>115</v>
      </c>
      <c r="B20" s="169">
        <v>0.00069186</v>
      </c>
      <c r="C20" s="169">
        <v>-0.005801732</v>
      </c>
      <c r="D20" s="169">
        <v>-0.001107077</v>
      </c>
      <c r="E20" s="169">
        <v>-0.0001096293</v>
      </c>
      <c r="F20" s="169">
        <v>-0.002635666</v>
      </c>
      <c r="G20" s="169">
        <v>-0.001939759</v>
      </c>
    </row>
    <row r="21" spans="1:7" ht="12.75">
      <c r="A21" s="168" t="s">
        <v>138</v>
      </c>
      <c r="B21" s="169">
        <v>-38.36989</v>
      </c>
      <c r="C21" s="169">
        <v>22.44062</v>
      </c>
      <c r="D21" s="169">
        <v>71.98568</v>
      </c>
      <c r="E21" s="169">
        <v>-13.11576</v>
      </c>
      <c r="F21" s="169">
        <v>-103.0525</v>
      </c>
      <c r="G21" s="169">
        <v>0.007071025</v>
      </c>
    </row>
    <row r="22" spans="1:7" ht="12.75">
      <c r="A22" s="168" t="s">
        <v>139</v>
      </c>
      <c r="B22" s="169">
        <v>51.16161</v>
      </c>
      <c r="C22" s="169">
        <v>-4.87324</v>
      </c>
      <c r="D22" s="169">
        <v>-8.051313</v>
      </c>
      <c r="E22" s="169">
        <v>-2.595431</v>
      </c>
      <c r="F22" s="169">
        <v>-27.58199</v>
      </c>
      <c r="G22" s="169">
        <v>0</v>
      </c>
    </row>
    <row r="23" spans="1:7" ht="12.75">
      <c r="A23" s="168" t="s">
        <v>140</v>
      </c>
      <c r="B23" s="169">
        <v>-0.9548456</v>
      </c>
      <c r="C23" s="169">
        <v>-2.142284</v>
      </c>
      <c r="D23" s="169">
        <v>-0.1367161</v>
      </c>
      <c r="E23" s="169">
        <v>-0.9154625</v>
      </c>
      <c r="F23" s="169">
        <v>-40.43791</v>
      </c>
      <c r="G23" s="169">
        <v>-6.372944</v>
      </c>
    </row>
    <row r="24" spans="1:7" ht="12.75">
      <c r="A24" s="168" t="s">
        <v>94</v>
      </c>
      <c r="B24" s="169">
        <v>-0.03410599</v>
      </c>
      <c r="C24" s="169">
        <v>-1.364023</v>
      </c>
      <c r="D24" s="169">
        <v>-2.22122</v>
      </c>
      <c r="E24" s="169">
        <v>-0.7712867</v>
      </c>
      <c r="F24" s="169">
        <v>-1.447764</v>
      </c>
      <c r="G24" s="169">
        <v>-1.245896</v>
      </c>
    </row>
    <row r="25" spans="1:7" ht="12.75">
      <c r="A25" s="168" t="s">
        <v>96</v>
      </c>
      <c r="B25" s="169">
        <v>0.1048279</v>
      </c>
      <c r="C25" s="169">
        <v>-0.148296</v>
      </c>
      <c r="D25" s="169">
        <v>0.3936858</v>
      </c>
      <c r="E25" s="169">
        <v>-0.3377268</v>
      </c>
      <c r="F25" s="169">
        <v>-3.495964</v>
      </c>
      <c r="G25" s="169">
        <v>-0.4796735</v>
      </c>
    </row>
    <row r="26" spans="1:7" ht="12.75">
      <c r="A26" s="168" t="s">
        <v>98</v>
      </c>
      <c r="B26" s="169">
        <v>0.3691143</v>
      </c>
      <c r="C26" s="169">
        <v>-0.05899173</v>
      </c>
      <c r="D26" s="169">
        <v>0.207018</v>
      </c>
      <c r="E26" s="169">
        <v>0.2383578</v>
      </c>
      <c r="F26" s="169">
        <v>-1.187716</v>
      </c>
      <c r="G26" s="169">
        <v>-0.01432876</v>
      </c>
    </row>
    <row r="27" spans="1:7" ht="12.75">
      <c r="A27" s="168" t="s">
        <v>141</v>
      </c>
      <c r="B27" s="169">
        <v>-0.1730495</v>
      </c>
      <c r="C27" s="169">
        <v>-0.05586413</v>
      </c>
      <c r="D27" s="169">
        <v>-0.1361324</v>
      </c>
      <c r="E27" s="169">
        <v>-0.1624676</v>
      </c>
      <c r="F27" s="169">
        <v>-1.605108</v>
      </c>
      <c r="G27" s="169">
        <v>-0.3271878</v>
      </c>
    </row>
    <row r="28" spans="1:7" ht="12.75">
      <c r="A28" s="168" t="s">
        <v>102</v>
      </c>
      <c r="B28" s="169">
        <v>0.05507131</v>
      </c>
      <c r="C28" s="169">
        <v>-0.2585322</v>
      </c>
      <c r="D28" s="169">
        <v>-0.3572524</v>
      </c>
      <c r="E28" s="169">
        <v>-0.1170056</v>
      </c>
      <c r="F28" s="169">
        <v>0.1601455</v>
      </c>
      <c r="G28" s="169">
        <v>-0.1461603</v>
      </c>
    </row>
    <row r="29" spans="1:7" ht="12.75">
      <c r="A29" s="168" t="s">
        <v>104</v>
      </c>
      <c r="B29" s="169">
        <v>0.1319038</v>
      </c>
      <c r="C29" s="169">
        <v>0.05151551</v>
      </c>
      <c r="D29" s="169">
        <v>0.06344066</v>
      </c>
      <c r="E29" s="169">
        <v>-0.002186514</v>
      </c>
      <c r="F29" s="169">
        <v>-0.04746077</v>
      </c>
      <c r="G29" s="169">
        <v>0.03976933</v>
      </c>
    </row>
    <row r="30" spans="1:7" ht="12.75">
      <c r="A30" s="168" t="s">
        <v>106</v>
      </c>
      <c r="B30" s="169">
        <v>0.1244189</v>
      </c>
      <c r="C30" s="169">
        <v>0.002041466</v>
      </c>
      <c r="D30" s="169">
        <v>-0.02903802</v>
      </c>
      <c r="E30" s="169">
        <v>0.03496508</v>
      </c>
      <c r="F30" s="169">
        <v>0.1881066</v>
      </c>
      <c r="G30" s="169">
        <v>0.04539152</v>
      </c>
    </row>
    <row r="31" spans="1:7" ht="12.75">
      <c r="A31" s="168" t="s">
        <v>108</v>
      </c>
      <c r="B31" s="169">
        <v>-0.01599201</v>
      </c>
      <c r="C31" s="169">
        <v>0.01663795</v>
      </c>
      <c r="D31" s="169">
        <v>0.005338206</v>
      </c>
      <c r="E31" s="169">
        <v>0.009032646</v>
      </c>
      <c r="F31" s="169">
        <v>-0.04608069</v>
      </c>
      <c r="G31" s="169">
        <v>-0.001111902</v>
      </c>
    </row>
    <row r="32" spans="1:7" ht="12.75">
      <c r="A32" s="168" t="s">
        <v>110</v>
      </c>
      <c r="B32" s="169">
        <v>-0.004288337</v>
      </c>
      <c r="C32" s="169">
        <v>-0.02316336</v>
      </c>
      <c r="D32" s="169">
        <v>-0.03615878</v>
      </c>
      <c r="E32" s="169">
        <v>-0.009579877</v>
      </c>
      <c r="F32" s="169">
        <v>0.008070505</v>
      </c>
      <c r="G32" s="169">
        <v>-0.01606127</v>
      </c>
    </row>
    <row r="33" spans="1:7" ht="12.75">
      <c r="A33" s="168" t="s">
        <v>112</v>
      </c>
      <c r="B33" s="169">
        <v>0.07150524</v>
      </c>
      <c r="C33" s="169">
        <v>0.05800865</v>
      </c>
      <c r="D33" s="169">
        <v>0.03853846</v>
      </c>
      <c r="E33" s="169">
        <v>0.06056084</v>
      </c>
      <c r="F33" s="169">
        <v>0.05384112</v>
      </c>
      <c r="G33" s="169">
        <v>0.05534434</v>
      </c>
    </row>
    <row r="34" spans="1:7" ht="12.75">
      <c r="A34" s="168" t="s">
        <v>114</v>
      </c>
      <c r="B34" s="169">
        <v>0.01354054</v>
      </c>
      <c r="C34" s="169">
        <v>0.01777504</v>
      </c>
      <c r="D34" s="169">
        <v>0.01122405</v>
      </c>
      <c r="E34" s="169">
        <v>0.0161988</v>
      </c>
      <c r="F34" s="169">
        <v>-0.02200678</v>
      </c>
      <c r="G34" s="169">
        <v>0.009827353</v>
      </c>
    </row>
    <row r="35" spans="1:7" ht="12.75">
      <c r="A35" s="168" t="s">
        <v>116</v>
      </c>
      <c r="B35" s="169">
        <v>-0.003109187</v>
      </c>
      <c r="C35" s="169">
        <v>0.0007889827</v>
      </c>
      <c r="D35" s="169">
        <v>0.003801285</v>
      </c>
      <c r="E35" s="169">
        <v>-0.002847118</v>
      </c>
      <c r="F35" s="169">
        <v>-0.005770906</v>
      </c>
      <c r="G35" s="169">
        <v>-0.0008131585</v>
      </c>
    </row>
    <row r="36" spans="1:6" ht="12.75">
      <c r="A36" s="168" t="s">
        <v>142</v>
      </c>
      <c r="B36" s="169">
        <v>19.4519</v>
      </c>
      <c r="C36" s="169">
        <v>19.45801</v>
      </c>
      <c r="D36" s="169">
        <v>19.47327</v>
      </c>
      <c r="E36" s="169">
        <v>19.48547</v>
      </c>
      <c r="F36" s="169">
        <v>19.50378</v>
      </c>
    </row>
    <row r="37" spans="1:6" ht="12.75">
      <c r="A37" s="168" t="s">
        <v>143</v>
      </c>
      <c r="B37" s="169">
        <v>0.4089356</v>
      </c>
      <c r="C37" s="169">
        <v>0.4048665</v>
      </c>
      <c r="D37" s="169">
        <v>0.4002889</v>
      </c>
      <c r="E37" s="169">
        <v>0.3967285</v>
      </c>
      <c r="F37" s="169">
        <v>0.3936768</v>
      </c>
    </row>
    <row r="38" spans="1:7" ht="12.75">
      <c r="A38" s="168" t="s">
        <v>144</v>
      </c>
      <c r="B38" s="169">
        <v>-0.0001329332</v>
      </c>
      <c r="C38" s="169">
        <v>3.172911E-05</v>
      </c>
      <c r="D38" s="169">
        <v>8.55005E-05</v>
      </c>
      <c r="E38" s="169">
        <v>-4.555089E-05</v>
      </c>
      <c r="F38" s="169">
        <v>1.545315E-05</v>
      </c>
      <c r="G38" s="169">
        <v>0.0002263663</v>
      </c>
    </row>
    <row r="39" spans="1:7" ht="12.75">
      <c r="A39" s="168" t="s">
        <v>145</v>
      </c>
      <c r="B39" s="169">
        <v>6.590892E-05</v>
      </c>
      <c r="C39" s="169">
        <v>-3.813359E-05</v>
      </c>
      <c r="D39" s="169">
        <v>-0.0001223068</v>
      </c>
      <c r="E39" s="169">
        <v>2.228497E-05</v>
      </c>
      <c r="F39" s="169">
        <v>0.0001752318</v>
      </c>
      <c r="G39" s="169">
        <v>0.0005562542</v>
      </c>
    </row>
    <row r="40" spans="2:5" ht="12.75">
      <c r="B40" s="168" t="s">
        <v>146</v>
      </c>
      <c r="C40" s="168">
        <v>-0.003737</v>
      </c>
      <c r="D40" s="168" t="s">
        <v>147</v>
      </c>
      <c r="E40" s="168">
        <v>3.125666</v>
      </c>
    </row>
    <row r="42" ht="12.75">
      <c r="A42" s="168" t="s">
        <v>148</v>
      </c>
    </row>
    <row r="43" spans="1:6" ht="12.75">
      <c r="A43" s="168" t="s">
        <v>149</v>
      </c>
      <c r="B43" s="168">
        <v>10</v>
      </c>
      <c r="C43" s="168">
        <v>10</v>
      </c>
      <c r="D43" s="168">
        <v>10</v>
      </c>
      <c r="E43" s="168">
        <v>10</v>
      </c>
      <c r="F43" s="168">
        <v>10</v>
      </c>
    </row>
    <row r="44" spans="1:10" ht="12.75">
      <c r="A44" s="168" t="s">
        <v>150</v>
      </c>
      <c r="B44" s="168">
        <v>12.515</v>
      </c>
      <c r="C44" s="168">
        <v>12.515</v>
      </c>
      <c r="D44" s="168">
        <v>12.515</v>
      </c>
      <c r="E44" s="168">
        <v>12.515</v>
      </c>
      <c r="F44" s="168">
        <v>12.515</v>
      </c>
      <c r="J44" s="168">
        <v>12.515</v>
      </c>
    </row>
    <row r="50" spans="1:7" ht="12.75">
      <c r="A50" s="168" t="s">
        <v>151</v>
      </c>
      <c r="B50" s="168">
        <f>-0.017/(B7*B7+B22*B22)*(B21*B22+B6*B7)</f>
        <v>-0.0001329332283498587</v>
      </c>
      <c r="C50" s="168">
        <f>-0.017/(C7*C7+C22*C22)*(C21*C22+C6*C7)</f>
        <v>3.172910841441431E-05</v>
      </c>
      <c r="D50" s="168">
        <f>-0.017/(D7*D7+D22*D22)*(D21*D22+D6*D7)</f>
        <v>8.550050604646254E-05</v>
      </c>
      <c r="E50" s="168">
        <f>-0.017/(E7*E7+E22*E22)*(E21*E22+E6*E7)</f>
        <v>-4.555089191008827E-05</v>
      </c>
      <c r="F50" s="168">
        <f>-0.017/(F7*F7+F22*F22)*(F21*F22+F6*F7)</f>
        <v>1.545314882351044E-05</v>
      </c>
      <c r="G50" s="168">
        <f>(B50*B$4+C50*C$4+D50*D$4+E50*E$4+F50*F$4)/SUM(B$4:F$4)</f>
        <v>-1.372438599904543E-09</v>
      </c>
    </row>
    <row r="51" spans="1:7" ht="12.75">
      <c r="A51" s="168" t="s">
        <v>152</v>
      </c>
      <c r="B51" s="168">
        <f>-0.017/(B7*B7+B22*B22)*(B21*B7-B6*B22)</f>
        <v>6.590892079848764E-05</v>
      </c>
      <c r="C51" s="168">
        <f>-0.017/(C7*C7+C22*C22)*(C21*C7-C6*C22)</f>
        <v>-3.8133591643971054E-05</v>
      </c>
      <c r="D51" s="168">
        <f>-0.017/(D7*D7+D22*D22)*(D21*D7-D6*D22)</f>
        <v>-0.0001223068168664162</v>
      </c>
      <c r="E51" s="168">
        <f>-0.017/(E7*E7+E22*E22)*(E21*E7-E6*E22)</f>
        <v>2.2284969580305894E-05</v>
      </c>
      <c r="F51" s="168">
        <f>-0.017/(F7*F7+F22*F22)*(F21*F7-F6*F22)</f>
        <v>0.00017523187285963185</v>
      </c>
      <c r="G51" s="168">
        <f>(B51*B$4+C51*C$4+D51*D$4+E51*E$4+F51*F$4)/SUM(B$4:F$4)</f>
        <v>1.0949540766852832E-07</v>
      </c>
    </row>
    <row r="58" ht="12.75">
      <c r="A58" s="168" t="s">
        <v>154</v>
      </c>
    </row>
    <row r="60" spans="2:6" ht="12.75">
      <c r="B60" s="168" t="s">
        <v>84</v>
      </c>
      <c r="C60" s="168" t="s">
        <v>85</v>
      </c>
      <c r="D60" s="168" t="s">
        <v>86</v>
      </c>
      <c r="E60" s="168" t="s">
        <v>87</v>
      </c>
      <c r="F60" s="168" t="s">
        <v>88</v>
      </c>
    </row>
    <row r="61" spans="1:6" ht="12.75">
      <c r="A61" s="168" t="s">
        <v>156</v>
      </c>
      <c r="B61" s="168">
        <f>B6+(1/0.017)*(B7*B50-B22*B51)</f>
        <v>0</v>
      </c>
      <c r="C61" s="168">
        <f>C6+(1/0.017)*(C7*C50-C22*C51)</f>
        <v>0</v>
      </c>
      <c r="D61" s="168">
        <f>D6+(1/0.017)*(D7*D50-D22*D51)</f>
        <v>0</v>
      </c>
      <c r="E61" s="168">
        <f>E6+(1/0.017)*(E7*E50-E22*E51)</f>
        <v>0</v>
      </c>
      <c r="F61" s="168">
        <f>F6+(1/0.017)*(F7*F50-F22*F51)</f>
        <v>0</v>
      </c>
    </row>
    <row r="62" spans="1:6" ht="12.75">
      <c r="A62" s="168" t="s">
        <v>159</v>
      </c>
      <c r="B62" s="168">
        <f>B7+(2/0.017)*(B8*B50-B23*B51)</f>
        <v>9999.980204177084</v>
      </c>
      <c r="C62" s="168">
        <f>C7+(2/0.017)*(C8*C50-C23*C51)</f>
        <v>9999.989990663391</v>
      </c>
      <c r="D62" s="168">
        <f>D7+(2/0.017)*(D8*D50-D23*D51)</f>
        <v>9999.993014294503</v>
      </c>
      <c r="E62" s="168">
        <f>E7+(2/0.017)*(E8*E50-E23*E51)</f>
        <v>9999.996918738661</v>
      </c>
      <c r="F62" s="168">
        <f>F7+(2/0.017)*(F8*F50-F23*F51)</f>
        <v>10000.856107324651</v>
      </c>
    </row>
    <row r="63" spans="1:6" ht="12.75">
      <c r="A63" s="168" t="s">
        <v>160</v>
      </c>
      <c r="B63" s="168">
        <f>B8+(3/0.017)*(B9*B50-B24*B51)</f>
        <v>1.727083139737085</v>
      </c>
      <c r="C63" s="168">
        <f>C8+(3/0.017)*(C9*C50-C24*C51)</f>
        <v>-0.11838667808891915</v>
      </c>
      <c r="D63" s="168">
        <f>D8+(3/0.017)*(D9*D50-D24*D51)</f>
        <v>-0.5422844350307489</v>
      </c>
      <c r="E63" s="168">
        <f>E8+(3/0.017)*(E9*E50-E24*E51)</f>
        <v>1.0231570425051655</v>
      </c>
      <c r="F63" s="168">
        <f>F8+(3/0.017)*(F9*F50-F24*F51)</f>
        <v>12.392959002155607</v>
      </c>
    </row>
    <row r="64" spans="1:6" ht="12.75">
      <c r="A64" s="168" t="s">
        <v>161</v>
      </c>
      <c r="B64" s="168">
        <f>B9+(4/0.017)*(B10*B50-B25*B51)</f>
        <v>0.5433548597642196</v>
      </c>
      <c r="C64" s="168">
        <f>C9+(4/0.017)*(C10*C50-C25*C51)</f>
        <v>-0.44218201406294233</v>
      </c>
      <c r="D64" s="168">
        <f>D9+(4/0.017)*(D10*D50-D25*D51)</f>
        <v>0.3115256861063888</v>
      </c>
      <c r="E64" s="168">
        <f>E9+(4/0.017)*(E10*E50-E25*E51)</f>
        <v>0.34509594518831094</v>
      </c>
      <c r="F64" s="168">
        <f>F9+(4/0.017)*(F10*F50-F25*F51)</f>
        <v>-1.8362519520400422</v>
      </c>
    </row>
    <row r="65" spans="1:6" ht="12.75">
      <c r="A65" s="168" t="s">
        <v>162</v>
      </c>
      <c r="B65" s="168">
        <f>B10+(5/0.017)*(B11*B50-B26*B51)</f>
        <v>-0.4735126987649864</v>
      </c>
      <c r="C65" s="168">
        <f>C10+(5/0.017)*(C11*C50-C26*C51)</f>
        <v>0.29031355277578463</v>
      </c>
      <c r="D65" s="168">
        <f>D10+(5/0.017)*(D11*D50-D26*D51)</f>
        <v>-0.07317416176290939</v>
      </c>
      <c r="E65" s="168">
        <f>E10+(5/0.017)*(E11*E50-E26*E51)</f>
        <v>-0.405678667664569</v>
      </c>
      <c r="F65" s="168">
        <f>F10+(5/0.017)*(F11*F50-F26*F51)</f>
        <v>-1.8895819041946171</v>
      </c>
    </row>
    <row r="66" spans="1:6" ht="12.75">
      <c r="A66" s="168" t="s">
        <v>163</v>
      </c>
      <c r="B66" s="168">
        <f>B11+(6/0.017)*(B12*B50-B27*B51)</f>
        <v>2.4507489607848973</v>
      </c>
      <c r="C66" s="168">
        <f>C11+(6/0.017)*(C12*C50-C27*C51)</f>
        <v>2.2016250103957615</v>
      </c>
      <c r="D66" s="168">
        <f>D11+(6/0.017)*(D12*D50-D27*D51)</f>
        <v>1.9488106805874643</v>
      </c>
      <c r="E66" s="168">
        <f>E11+(6/0.017)*(E12*E50-E27*E51)</f>
        <v>1.894323424323221</v>
      </c>
      <c r="F66" s="168">
        <f>F11+(6/0.017)*(F12*F50-F27*F51)</f>
        <v>14.437306092422014</v>
      </c>
    </row>
    <row r="67" spans="1:6" ht="12.75">
      <c r="A67" s="168" t="s">
        <v>164</v>
      </c>
      <c r="B67" s="168">
        <f>B12+(7/0.017)*(B13*B50-B28*B51)</f>
        <v>-0.037029279882852505</v>
      </c>
      <c r="C67" s="168">
        <f>C12+(7/0.017)*(C13*C50-C28*C51)</f>
        <v>-0.0010359426910434887</v>
      </c>
      <c r="D67" s="168">
        <f>D12+(7/0.017)*(D13*D50-D28*D51)</f>
        <v>-0.19031194659673387</v>
      </c>
      <c r="E67" s="168">
        <f>E12+(7/0.017)*(E13*E50-E28*E51)</f>
        <v>0.07545962734752444</v>
      </c>
      <c r="F67" s="168">
        <f>F12+(7/0.017)*(F13*F50-F28*F51)</f>
        <v>-0.40276905830881826</v>
      </c>
    </row>
    <row r="68" spans="1:6" ht="12.75">
      <c r="A68" s="168" t="s">
        <v>165</v>
      </c>
      <c r="B68" s="168">
        <f>B13+(8/0.017)*(B14*B50-B29*B51)</f>
        <v>0.028757702002023475</v>
      </c>
      <c r="C68" s="168">
        <f>C13+(8/0.017)*(C14*C50-C29*C51)</f>
        <v>-0.05391244089223285</v>
      </c>
      <c r="D68" s="168">
        <f>D13+(8/0.017)*(D14*D50-D29*D51)</f>
        <v>0.1839566615859252</v>
      </c>
      <c r="E68" s="168">
        <f>E13+(8/0.017)*(E14*E50-E29*E51)</f>
        <v>-0.020969979153518524</v>
      </c>
      <c r="F68" s="168">
        <f>F13+(8/0.017)*(F14*F50-F29*F51)</f>
        <v>-0.26799966057500046</v>
      </c>
    </row>
    <row r="69" spans="1:6" ht="12.75">
      <c r="A69" s="168" t="s">
        <v>166</v>
      </c>
      <c r="B69" s="168">
        <f>B14+(9/0.017)*(B15*B50-B30*B51)</f>
        <v>-0.13315254275251545</v>
      </c>
      <c r="C69" s="168">
        <f>C14+(9/0.017)*(C15*C50-C30*C51)</f>
        <v>-0.0027361779171178025</v>
      </c>
      <c r="D69" s="168">
        <f>D14+(9/0.017)*(D15*D50-D30*D51)</f>
        <v>-0.06052836057650101</v>
      </c>
      <c r="E69" s="168">
        <f>E14+(9/0.017)*(E15*E50-E30*E51)</f>
        <v>-0.01719099995527911</v>
      </c>
      <c r="F69" s="168">
        <f>F14+(9/0.017)*(F15*F50-F30*F51)</f>
        <v>-0.11891179849809941</v>
      </c>
    </row>
    <row r="70" spans="1:6" ht="12.75">
      <c r="A70" s="168" t="s">
        <v>167</v>
      </c>
      <c r="B70" s="168">
        <f>B15+(10/0.017)*(B16*B50-B31*B51)</f>
        <v>-0.437961654093182</v>
      </c>
      <c r="C70" s="168">
        <f>C15+(10/0.017)*(C16*C50-C31*C51)</f>
        <v>-0.12888407650866845</v>
      </c>
      <c r="D70" s="168">
        <f>D15+(10/0.017)*(D16*D50-D31*D51)</f>
        <v>-0.11932063683240102</v>
      </c>
      <c r="E70" s="168">
        <f>E15+(10/0.017)*(E16*E50-E31*E51)</f>
        <v>-0.12242631260883713</v>
      </c>
      <c r="F70" s="168">
        <f>F15+(10/0.017)*(F16*F50-F31*F51)</f>
        <v>-0.43204063723637154</v>
      </c>
    </row>
    <row r="71" spans="1:6" ht="12.75">
      <c r="A71" s="168" t="s">
        <v>168</v>
      </c>
      <c r="B71" s="168">
        <f>B16+(11/0.017)*(B17*B50-B32*B51)</f>
        <v>0.00986599760335772</v>
      </c>
      <c r="C71" s="168">
        <f>C16+(11/0.017)*(C17*C50-C32*C51)</f>
        <v>-0.0023782772982288663</v>
      </c>
      <c r="D71" s="168">
        <f>D16+(11/0.017)*(D17*D50-D32*D51)</f>
        <v>-0.010325519171653936</v>
      </c>
      <c r="E71" s="168">
        <f>E16+(11/0.017)*(E17*E50-E32*E51)</f>
        <v>-0.01834467190232842</v>
      </c>
      <c r="F71" s="168">
        <f>F16+(11/0.017)*(F17*F50-F32*F51)</f>
        <v>-0.05030153638860572</v>
      </c>
    </row>
    <row r="72" spans="1:6" ht="12.75">
      <c r="A72" s="168" t="s">
        <v>169</v>
      </c>
      <c r="B72" s="168">
        <f>B17+(12/0.017)*(B18*B50-B33*B51)</f>
        <v>-0.016913035591308776</v>
      </c>
      <c r="C72" s="168">
        <f>C17+(12/0.017)*(C18*C50-C33*C51)</f>
        <v>-0.010024576802207898</v>
      </c>
      <c r="D72" s="168">
        <f>D17+(12/0.017)*(D18*D50-D33*D51)</f>
        <v>-0.008254050928135298</v>
      </c>
      <c r="E72" s="168">
        <f>E17+(12/0.017)*(E18*E50-E33*E51)</f>
        <v>-0.006248001275470845</v>
      </c>
      <c r="F72" s="168">
        <f>F17+(12/0.017)*(F18*F50-F33*F51)</f>
        <v>-0.0188461599760884</v>
      </c>
    </row>
    <row r="73" spans="1:6" ht="12.75">
      <c r="A73" s="168" t="s">
        <v>170</v>
      </c>
      <c r="B73" s="168">
        <f>B18+(13/0.017)*(B19*B50-B34*B51)</f>
        <v>0.030637851088001572</v>
      </c>
      <c r="C73" s="168">
        <f>C18+(13/0.017)*(C19*C50-C34*C51)</f>
        <v>0.029702137035843765</v>
      </c>
      <c r="D73" s="168">
        <f>D18+(13/0.017)*(D19*D50-D34*D51)</f>
        <v>0.027150008058076484</v>
      </c>
      <c r="E73" s="168">
        <f>E18+(13/0.017)*(E19*E50-E34*E51)</f>
        <v>0.031200958588978728</v>
      </c>
      <c r="F73" s="168">
        <f>F18+(13/0.017)*(F19*F50-F34*F51)</f>
        <v>-0.00215434973801775</v>
      </c>
    </row>
    <row r="74" spans="1:6" ht="12.75">
      <c r="A74" s="168" t="s">
        <v>171</v>
      </c>
      <c r="B74" s="168">
        <f>B19+(14/0.017)*(B20*B50-B35*B51)</f>
        <v>-0.20879778072534683</v>
      </c>
      <c r="C74" s="168">
        <f>C19+(14/0.017)*(C20*C50-C35*C51)</f>
        <v>-0.19193892109137223</v>
      </c>
      <c r="D74" s="168">
        <f>D19+(14/0.017)*(D20*D50-D35*D51)</f>
        <v>-0.19013437388560736</v>
      </c>
      <c r="E74" s="168">
        <f>E19+(14/0.017)*(E20*E50-E35*E51)</f>
        <v>-0.19395083628789267</v>
      </c>
      <c r="F74" s="168">
        <f>F19+(14/0.017)*(F20*F50-F35*F51)</f>
        <v>-0.14917035043615193</v>
      </c>
    </row>
    <row r="75" spans="1:6" ht="12.75">
      <c r="A75" s="168" t="s">
        <v>172</v>
      </c>
      <c r="B75" s="169">
        <f>B20</f>
        <v>0.00069186</v>
      </c>
      <c r="C75" s="169">
        <f>C20</f>
        <v>-0.005801732</v>
      </c>
      <c r="D75" s="169">
        <f>D20</f>
        <v>-0.001107077</v>
      </c>
      <c r="E75" s="169">
        <f>E20</f>
        <v>-0.0001096293</v>
      </c>
      <c r="F75" s="169">
        <f>F20</f>
        <v>-0.002635666</v>
      </c>
    </row>
    <row r="78" ht="12.75">
      <c r="A78" s="168" t="s">
        <v>154</v>
      </c>
    </row>
    <row r="80" spans="2:6" ht="12.75">
      <c r="B80" s="168" t="s">
        <v>84</v>
      </c>
      <c r="C80" s="168" t="s">
        <v>85</v>
      </c>
      <c r="D80" s="168" t="s">
        <v>86</v>
      </c>
      <c r="E80" s="168" t="s">
        <v>87</v>
      </c>
      <c r="F80" s="168" t="s">
        <v>88</v>
      </c>
    </row>
    <row r="81" spans="1:6" ht="12.75">
      <c r="A81" s="168" t="s">
        <v>173</v>
      </c>
      <c r="B81" s="168">
        <f>B21+(1/0.017)*(B7*B51+B22*B50)</f>
        <v>0</v>
      </c>
      <c r="C81" s="168">
        <f>C21+(1/0.017)*(C7*C51+C22*C50)</f>
        <v>0</v>
      </c>
      <c r="D81" s="168">
        <f>D21+(1/0.017)*(D7*D51+D22*D50)</f>
        <v>0</v>
      </c>
      <c r="E81" s="168">
        <f>E21+(1/0.017)*(E7*E51+E22*E50)</f>
        <v>0</v>
      </c>
      <c r="F81" s="168">
        <f>F21+(1/0.017)*(F7*F51+F22*F50)</f>
        <v>0</v>
      </c>
    </row>
    <row r="82" spans="1:6" ht="12.75">
      <c r="A82" s="168" t="s">
        <v>174</v>
      </c>
      <c r="B82" s="168">
        <f>B22+(2/0.017)*(B8*B51+B23*B50)</f>
        <v>51.19002875733265</v>
      </c>
      <c r="C82" s="168">
        <f>C22+(2/0.017)*(C8*C51+C23*C50)</f>
        <v>-4.880757981993907</v>
      </c>
      <c r="D82" s="168">
        <f>D22+(2/0.017)*(D8*D51+D23*D50)</f>
        <v>-8.045509355090783</v>
      </c>
      <c r="E82" s="168">
        <f>E22+(2/0.017)*(E8*E51+E23*E50)</f>
        <v>-2.587843430964068</v>
      </c>
      <c r="F82" s="168">
        <f>F22+(2/0.017)*(F8*F51+F23*F50)</f>
        <v>-27.400831627498725</v>
      </c>
    </row>
    <row r="83" spans="1:6" ht="12.75">
      <c r="A83" s="168" t="s">
        <v>175</v>
      </c>
      <c r="B83" s="168">
        <f>B23+(3/0.017)*(B9*B51+B24*B50)</f>
        <v>-0.9478417347083239</v>
      </c>
      <c r="C83" s="168">
        <f>C23+(3/0.017)*(C9*C51+C24*C50)</f>
        <v>-2.146941235025055</v>
      </c>
      <c r="D83" s="168">
        <f>D23+(3/0.017)*(D9*D51+D24*D50)</f>
        <v>-0.17676629845243494</v>
      </c>
      <c r="E83" s="168">
        <f>E23+(3/0.017)*(E9*E51+E24*E50)</f>
        <v>-0.9079283837995247</v>
      </c>
      <c r="F83" s="168">
        <f>F23+(3/0.017)*(F9*F51+F24*F50)</f>
        <v>-40.502871684566806</v>
      </c>
    </row>
    <row r="84" spans="1:6" ht="12.75">
      <c r="A84" s="168" t="s">
        <v>176</v>
      </c>
      <c r="B84" s="168">
        <f>B24+(4/0.017)*(B10*B51+B25*B50)</f>
        <v>-0.04313455249369837</v>
      </c>
      <c r="C84" s="168">
        <f>C24+(4/0.017)*(C10*C51+C25*C50)</f>
        <v>-1.3675565276441983</v>
      </c>
      <c r="D84" s="168">
        <f>D24+(4/0.017)*(D10*D51+D25*D50)</f>
        <v>-2.2095613125590563</v>
      </c>
      <c r="E84" s="168">
        <f>E24+(4/0.017)*(E10*E51+E25*E50)</f>
        <v>-0.7696529172815164</v>
      </c>
      <c r="F84" s="168">
        <f>F24+(4/0.017)*(F10*F51+F25*F50)</f>
        <v>-1.5435960473332266</v>
      </c>
    </row>
    <row r="85" spans="1:6" ht="12.75">
      <c r="A85" s="168" t="s">
        <v>177</v>
      </c>
      <c r="B85" s="168">
        <f>B25+(5/0.017)*(B11*B51+B26*B50)</f>
        <v>0.13779476333796936</v>
      </c>
      <c r="C85" s="168">
        <f>C25+(5/0.017)*(C11*C51+C26*C50)</f>
        <v>-0.17354738192645555</v>
      </c>
      <c r="D85" s="168">
        <f>D25+(5/0.017)*(D11*D51+D26*D50)</f>
        <v>0.32838252819128955</v>
      </c>
      <c r="E85" s="168">
        <f>E25+(5/0.017)*(E11*E51+E26*E50)</f>
        <v>-0.32850457677375755</v>
      </c>
      <c r="F85" s="168">
        <f>F25+(5/0.017)*(F11*F51+F26*F50)</f>
        <v>-2.7622877818239076</v>
      </c>
    </row>
    <row r="86" spans="1:6" ht="12.75">
      <c r="A86" s="168" t="s">
        <v>178</v>
      </c>
      <c r="B86" s="168">
        <f>B26+(6/0.017)*(B12*B51+B27*B50)</f>
        <v>0.3764358729495403</v>
      </c>
      <c r="C86" s="168">
        <f>C26+(6/0.017)*(C12*C51+C27*C50)</f>
        <v>-0.05966765953217466</v>
      </c>
      <c r="D86" s="168">
        <f>D26+(6/0.017)*(D12*D51+D27*D50)</f>
        <v>0.21062581665902158</v>
      </c>
      <c r="E86" s="168">
        <f>E26+(6/0.017)*(E12*E51+E27*E50)</f>
        <v>0.24155166406436906</v>
      </c>
      <c r="F86" s="168">
        <f>F26+(6/0.017)*(F12*F51+F27*F50)</f>
        <v>-1.2205588421921885</v>
      </c>
    </row>
    <row r="87" spans="1:6" ht="12.75">
      <c r="A87" s="168" t="s">
        <v>179</v>
      </c>
      <c r="B87" s="168">
        <f>B27+(7/0.017)*(B13*B51+B28*B50)</f>
        <v>-0.1754434744551191</v>
      </c>
      <c r="C87" s="168">
        <f>C27+(7/0.017)*(C13*C51+C28*C50)</f>
        <v>-0.058380923893408966</v>
      </c>
      <c r="D87" s="168">
        <f>D27+(7/0.017)*(D13*D51+D28*D50)</f>
        <v>-0.15789821901827134</v>
      </c>
      <c r="E87" s="168">
        <f>E27+(7/0.017)*(E13*E51+E28*E50)</f>
        <v>-0.16046953094647864</v>
      </c>
      <c r="F87" s="168">
        <f>F27+(7/0.017)*(F13*F51+F28*F50)</f>
        <v>-1.623657338920999</v>
      </c>
    </row>
    <row r="88" spans="1:6" ht="12.75">
      <c r="A88" s="168" t="s">
        <v>180</v>
      </c>
      <c r="B88" s="168">
        <f>B28+(8/0.017)*(B14*B51+B29*B50)</f>
        <v>0.041868759778823324</v>
      </c>
      <c r="C88" s="168">
        <f>C28+(8/0.017)*(C14*C51+C29*C50)</f>
        <v>-0.2577521177554023</v>
      </c>
      <c r="D88" s="168">
        <f>D28+(8/0.017)*(D14*D51+D29*D50)</f>
        <v>-0.3516352575719695</v>
      </c>
      <c r="E88" s="168">
        <f>E28+(8/0.017)*(E14*E51+E29*E50)</f>
        <v>-0.11716574466531372</v>
      </c>
      <c r="F88" s="168">
        <f>F28+(8/0.017)*(F14*F51+F29*F50)</f>
        <v>0.15172803319628425</v>
      </c>
    </row>
    <row r="89" spans="1:6" ht="12.75">
      <c r="A89" s="168" t="s">
        <v>181</v>
      </c>
      <c r="B89" s="168">
        <f>B29+(9/0.017)*(B15*B51+B30*B50)</f>
        <v>0.10786768603680634</v>
      </c>
      <c r="C89" s="168">
        <f>C29+(9/0.017)*(C15*C51+C30*C50)</f>
        <v>0.054158711061985075</v>
      </c>
      <c r="D89" s="168">
        <f>D29+(9/0.017)*(D15*D51+D30*D50)</f>
        <v>0.06985541249412397</v>
      </c>
      <c r="E89" s="168">
        <f>E29+(9/0.017)*(E15*E51+E30*E50)</f>
        <v>-0.004478567375364004</v>
      </c>
      <c r="F89" s="168">
        <f>F29+(9/0.017)*(F15*F51+F30*F50)</f>
        <v>-0.08640128665919385</v>
      </c>
    </row>
    <row r="90" spans="1:6" ht="12.75">
      <c r="A90" s="168" t="s">
        <v>182</v>
      </c>
      <c r="B90" s="168">
        <f>B30+(10/0.017)*(B16*B51+B31*B50)</f>
        <v>0.12600267334777443</v>
      </c>
      <c r="C90" s="168">
        <f>C30+(10/0.017)*(C16*C51+C31*C50)</f>
        <v>0.0023868426266928098</v>
      </c>
      <c r="D90" s="168">
        <f>D30+(10/0.017)*(D16*D51+D31*D50)</f>
        <v>-0.0282879022950766</v>
      </c>
      <c r="E90" s="168">
        <f>E30+(10/0.017)*(E16*E51+E31*E50)</f>
        <v>0.03447902703445207</v>
      </c>
      <c r="F90" s="168">
        <f>F30+(10/0.017)*(F16*F51+F31*F50)</f>
        <v>0.18260960898827436</v>
      </c>
    </row>
    <row r="91" spans="1:6" ht="12.75">
      <c r="A91" s="168" t="s">
        <v>183</v>
      </c>
      <c r="B91" s="168">
        <f>B31+(11/0.017)*(B17*B51+B32*B50)</f>
        <v>-0.016162201341154803</v>
      </c>
      <c r="C91" s="168">
        <f>C31+(11/0.017)*(C17*C51+C32*C50)</f>
        <v>0.01646697432282506</v>
      </c>
      <c r="D91" s="168">
        <f>D31+(11/0.017)*(D17*D51+D32*D50)</f>
        <v>0.004438434683265297</v>
      </c>
      <c r="E91" s="168">
        <f>E31+(11/0.017)*(E17*E51+E32*E50)</f>
        <v>0.009250107998395445</v>
      </c>
      <c r="F91" s="168">
        <f>F31+(11/0.017)*(F17*F51+F32*F50)</f>
        <v>-0.04737762966599501</v>
      </c>
    </row>
    <row r="92" spans="1:6" ht="12.75">
      <c r="A92" s="168" t="s">
        <v>184</v>
      </c>
      <c r="B92" s="168">
        <f>B32+(12/0.017)*(B18*B51+B33*B50)</f>
        <v>-0.010528827363039246</v>
      </c>
      <c r="C92" s="168">
        <f>C32+(12/0.017)*(C18*C51+C33*C50)</f>
        <v>-0.0227749799048318</v>
      </c>
      <c r="D92" s="168">
        <f>D32+(12/0.017)*(D18*D51+D33*D50)</f>
        <v>-0.03716118618828329</v>
      </c>
      <c r="E92" s="168">
        <f>E32+(12/0.017)*(E18*E51+E33*E50)</f>
        <v>-0.011138278014839858</v>
      </c>
      <c r="F92" s="168">
        <f>F32+(12/0.017)*(F18*F51+F33*F50)</f>
        <v>0.008245779386369287</v>
      </c>
    </row>
    <row r="93" spans="1:6" ht="12.75">
      <c r="A93" s="168" t="s">
        <v>185</v>
      </c>
      <c r="B93" s="168">
        <f>B33+(13/0.017)*(B19*B51+B34*B50)</f>
        <v>0.05960048626170997</v>
      </c>
      <c r="C93" s="168">
        <f>C33+(13/0.017)*(C19*C51+C34*C50)</f>
        <v>0.06403336270853177</v>
      </c>
      <c r="D93" s="168">
        <f>D33+(13/0.017)*(D19*D51+D34*D50)</f>
        <v>0.05708386735729828</v>
      </c>
      <c r="E93" s="168">
        <f>E33+(13/0.017)*(E19*E51+E34*E50)</f>
        <v>0.056690423153115586</v>
      </c>
      <c r="F93" s="168">
        <f>F33+(13/0.017)*(F19*F51+F34*F50)</f>
        <v>0.033485010409165336</v>
      </c>
    </row>
    <row r="94" spans="1:6" ht="12.75">
      <c r="A94" s="168" t="s">
        <v>186</v>
      </c>
      <c r="B94" s="168">
        <f>B34+(14/0.017)*(B20*B51+B35*B50)</f>
        <v>0.013918469185856397</v>
      </c>
      <c r="C94" s="168">
        <f>C34+(14/0.017)*(C20*C51+C35*C50)</f>
        <v>0.017977854373622128</v>
      </c>
      <c r="D94" s="168">
        <f>D34+(14/0.017)*(D20*D51+D35*D50)</f>
        <v>0.011603215174724698</v>
      </c>
      <c r="E94" s="168">
        <f>E34+(14/0.017)*(E20*E51+E35*E50)</f>
        <v>0.01630359055889454</v>
      </c>
      <c r="F94" s="168">
        <f>F34+(14/0.017)*(F20*F51+F35*F50)</f>
        <v>-0.02246057053067513</v>
      </c>
    </row>
    <row r="95" spans="1:6" ht="12.75">
      <c r="A95" s="168" t="s">
        <v>187</v>
      </c>
      <c r="B95" s="169">
        <f>B35</f>
        <v>-0.003109187</v>
      </c>
      <c r="C95" s="169">
        <f>C35</f>
        <v>0.0007889827</v>
      </c>
      <c r="D95" s="169">
        <f>D35</f>
        <v>0.003801285</v>
      </c>
      <c r="E95" s="169">
        <f>E35</f>
        <v>-0.002847118</v>
      </c>
      <c r="F95" s="169">
        <f>F35</f>
        <v>-0.005770906</v>
      </c>
    </row>
    <row r="98" ht="12.75">
      <c r="A98" s="168" t="s">
        <v>155</v>
      </c>
    </row>
    <row r="100" spans="2:11" ht="12.75">
      <c r="B100" s="168" t="s">
        <v>84</v>
      </c>
      <c r="C100" s="168" t="s">
        <v>85</v>
      </c>
      <c r="D100" s="168" t="s">
        <v>86</v>
      </c>
      <c r="E100" s="168" t="s">
        <v>87</v>
      </c>
      <c r="F100" s="168" t="s">
        <v>88</v>
      </c>
      <c r="G100" s="168" t="s">
        <v>157</v>
      </c>
      <c r="H100" s="168" t="s">
        <v>158</v>
      </c>
      <c r="I100" s="168" t="s">
        <v>153</v>
      </c>
      <c r="K100" s="168" t="s">
        <v>188</v>
      </c>
    </row>
    <row r="101" spans="1:9" ht="12.75">
      <c r="A101" s="168" t="s">
        <v>156</v>
      </c>
      <c r="B101" s="168">
        <f>B61*10000/B62</f>
        <v>0</v>
      </c>
      <c r="C101" s="168">
        <f>C61*10000/C62</f>
        <v>0</v>
      </c>
      <c r="D101" s="168">
        <f>D61*10000/D62</f>
        <v>0</v>
      </c>
      <c r="E101" s="168">
        <f>E61*10000/E62</f>
        <v>0</v>
      </c>
      <c r="F101" s="168">
        <f>F61*10000/F62</f>
        <v>0</v>
      </c>
      <c r="G101" s="168">
        <f>AVERAGE(C101:E101)</f>
        <v>0</v>
      </c>
      <c r="H101" s="168">
        <f>STDEV(C101:E101)</f>
        <v>0</v>
      </c>
      <c r="I101" s="168">
        <f>(B101*B4+C101*C4+D101*D4+E101*E4+F101*F4)/SUM(B4:F4)</f>
        <v>0</v>
      </c>
    </row>
    <row r="102" spans="1:9" ht="12.75">
      <c r="A102" s="168" t="s">
        <v>159</v>
      </c>
      <c r="B102" s="168">
        <f>B62*10000/B62</f>
        <v>10000</v>
      </c>
      <c r="C102" s="168">
        <f>C62*10000/C62</f>
        <v>10000</v>
      </c>
      <c r="D102" s="168">
        <f>D62*10000/D62</f>
        <v>10000</v>
      </c>
      <c r="E102" s="168">
        <f>E62*10000/E62</f>
        <v>10000</v>
      </c>
      <c r="F102" s="168">
        <f>F62*10000/F62</f>
        <v>10000</v>
      </c>
      <c r="G102" s="168">
        <f>AVERAGE(C102:E102)</f>
        <v>10000</v>
      </c>
      <c r="H102" s="168">
        <f>STDEV(C102:E102)</f>
        <v>0</v>
      </c>
      <c r="I102" s="168">
        <f>(B102*B4+C102*C4+D102*D4+E102*E4+F102*F4)/SUM(B4:F4)</f>
        <v>10000</v>
      </c>
    </row>
    <row r="103" spans="1:11" ht="12.75">
      <c r="A103" s="168" t="s">
        <v>160</v>
      </c>
      <c r="B103" s="168">
        <f>B63*10000/B62</f>
        <v>1.7270865586470527</v>
      </c>
      <c r="C103" s="168">
        <f>C63*10000/C62</f>
        <v>-0.11838679658624886</v>
      </c>
      <c r="D103" s="168">
        <f>D63*10000/D62</f>
        <v>-0.5422848138549493</v>
      </c>
      <c r="E103" s="168">
        <f>E63*10000/E62</f>
        <v>1.0231573577666866</v>
      </c>
      <c r="F103" s="168">
        <f>F63*10000/F62</f>
        <v>12.391898122680692</v>
      </c>
      <c r="G103" s="168">
        <f>AVERAGE(C103:E103)</f>
        <v>0.12082858244182948</v>
      </c>
      <c r="H103" s="168">
        <f>STDEV(C103:E103)</f>
        <v>0.8096729564123567</v>
      </c>
      <c r="I103" s="168">
        <f>(B103*B4+C103*C4+D103*D4+E103*E4+F103*F4)/SUM(B4:F4)</f>
        <v>2.012914059617591</v>
      </c>
      <c r="K103" s="168">
        <f>(LN(H103)+LN(H123))/2-LN(K114*K115^3)</f>
        <v>-3.9861482131209804</v>
      </c>
    </row>
    <row r="104" spans="1:11" ht="12.75">
      <c r="A104" s="168" t="s">
        <v>161</v>
      </c>
      <c r="B104" s="168">
        <f>B64*10000/B62</f>
        <v>0.5433559353820073</v>
      </c>
      <c r="C104" s="168">
        <f>C64*10000/C62</f>
        <v>-0.4421824566582474</v>
      </c>
      <c r="D104" s="168">
        <f>D64*10000/D62</f>
        <v>0.31152590372921063</v>
      </c>
      <c r="E104" s="168">
        <f>E64*10000/E62</f>
        <v>0.34509605152142314</v>
      </c>
      <c r="F104" s="168">
        <f>F64*10000/F62</f>
        <v>-1.8360947626225388</v>
      </c>
      <c r="G104" s="168">
        <f>AVERAGE(C104:E104)</f>
        <v>0.07147983286412879</v>
      </c>
      <c r="H104" s="168">
        <f>STDEV(C104:E104)</f>
        <v>0.44516114999371276</v>
      </c>
      <c r="I104" s="168">
        <f>(B104*B4+C104*C4+D104*D4+E104*E4+F104*F4)/SUM(B4:F4)</f>
        <v>-0.11796050265647955</v>
      </c>
      <c r="K104" s="168">
        <f>(LN(H104)+LN(H124))/2-LN(K114*K115^4)</f>
        <v>-3.8537970471080336</v>
      </c>
    </row>
    <row r="105" spans="1:11" ht="12.75">
      <c r="A105" s="168" t="s">
        <v>162</v>
      </c>
      <c r="B105" s="168">
        <f>B65*10000/B62</f>
        <v>-0.4735136361241954</v>
      </c>
      <c r="C105" s="168">
        <f>C65*10000/C62</f>
        <v>0.29031384336068267</v>
      </c>
      <c r="D105" s="168">
        <f>D65*10000/D62</f>
        <v>-0.0731742128802595</v>
      </c>
      <c r="E105" s="168">
        <f>E65*10000/E62</f>
        <v>-0.405678792664807</v>
      </c>
      <c r="F105" s="168">
        <f>F65*10000/F62</f>
        <v>-1.8894201495516798</v>
      </c>
      <c r="G105" s="168">
        <f>AVERAGE(C105:E105)</f>
        <v>-0.0628463873947946</v>
      </c>
      <c r="H105" s="168">
        <f>STDEV(C105:E105)</f>
        <v>0.3481112398858605</v>
      </c>
      <c r="I105" s="168">
        <f>(B105*B4+C105*C4+D105*D4+E105*E4+F105*F4)/SUM(B4:F4)</f>
        <v>-0.3693798871207268</v>
      </c>
      <c r="K105" s="168">
        <f>(LN(H105)+LN(H125))/2-LN(K114*K115^5)</f>
        <v>-3.7580044651397544</v>
      </c>
    </row>
    <row r="106" spans="1:11" ht="12.75">
      <c r="A106" s="168" t="s">
        <v>163</v>
      </c>
      <c r="B106" s="168">
        <f>B66*10000/B62</f>
        <v>2.4507538122537453</v>
      </c>
      <c r="C106" s="168">
        <f>C66*10000/C62</f>
        <v>2.201627214078549</v>
      </c>
      <c r="D106" s="168">
        <f>D66*10000/D62</f>
        <v>1.9488120419701636</v>
      </c>
      <c r="E106" s="168">
        <f>E66*10000/E62</f>
        <v>1.894324008013954</v>
      </c>
      <c r="F106" s="168">
        <f>F66*10000/F62</f>
        <v>14.436070209877428</v>
      </c>
      <c r="G106" s="168">
        <f>AVERAGE(C106:E106)</f>
        <v>2.014921088020889</v>
      </c>
      <c r="H106" s="168">
        <f>STDEV(C106:E106)</f>
        <v>0.16397139870019176</v>
      </c>
      <c r="I106" s="168">
        <f>(B106*B4+C106*C4+D106*D4+E106*E4+F106*F4)/SUM(B4:F4)</f>
        <v>3.757485253610933</v>
      </c>
      <c r="K106" s="168">
        <f>(LN(H106)+LN(H126))/2-LN(K114*K115^6)</f>
        <v>-3.90741762834618</v>
      </c>
    </row>
    <row r="107" spans="1:11" ht="12.75">
      <c r="A107" s="168" t="s">
        <v>164</v>
      </c>
      <c r="B107" s="168">
        <f>B67*10000/B62</f>
        <v>-0.03702935318550434</v>
      </c>
      <c r="C107" s="168">
        <f>C67*10000/C62</f>
        <v>-0.0010359437279544369</v>
      </c>
      <c r="D107" s="168">
        <f>D67*10000/D62</f>
        <v>-0.19031207954314788</v>
      </c>
      <c r="E107" s="168">
        <f>E67*10000/E62</f>
        <v>0.07545965059861484</v>
      </c>
      <c r="F107" s="168">
        <f>F67*10000/F62</f>
        <v>-0.4027345799064434</v>
      </c>
      <c r="G107" s="168">
        <f>AVERAGE(C107:E107)</f>
        <v>-0.038629457557495826</v>
      </c>
      <c r="H107" s="168">
        <f>STDEV(C107:E107)</f>
        <v>0.13681596159503986</v>
      </c>
      <c r="I107" s="168">
        <f>(B107*B4+C107*C4+D107*D4+E107*E4+F107*F4)/SUM(B4:F4)</f>
        <v>-0.08762407473578322</v>
      </c>
      <c r="K107" s="168">
        <f>(LN(H107)+LN(H127))/2-LN(K114*K115^7)</f>
        <v>-3.929683182357029</v>
      </c>
    </row>
    <row r="108" spans="1:9" ht="12.75">
      <c r="A108" s="168" t="s">
        <v>165</v>
      </c>
      <c r="B108" s="168">
        <f>B68*10000/B62</f>
        <v>0.0287577589303738</v>
      </c>
      <c r="C108" s="168">
        <f>C68*10000/C62</f>
        <v>-0.05391249485506369</v>
      </c>
      <c r="D108" s="168">
        <f>D68*10000/D62</f>
        <v>0.18395679009272117</v>
      </c>
      <c r="E108" s="168">
        <f>E68*10000/E62</f>
        <v>-0.020969985614919116</v>
      </c>
      <c r="F108" s="168">
        <f>F68*10000/F62</f>
        <v>-0.2679767188918125</v>
      </c>
      <c r="G108" s="168">
        <f>AVERAGE(C108:E108)</f>
        <v>0.036358103207579456</v>
      </c>
      <c r="H108" s="168">
        <f>STDEV(C108:E108)</f>
        <v>0.12888107505147073</v>
      </c>
      <c r="I108" s="168">
        <f>(B108*B4+C108*C4+D108*D4+E108*E4+F108*F4)/SUM(B4:F4)</f>
        <v>-0.005890462845434873</v>
      </c>
    </row>
    <row r="109" spans="1:9" ht="12.75">
      <c r="A109" s="168" t="s">
        <v>166</v>
      </c>
      <c r="B109" s="168">
        <f>B69*10000/B62</f>
        <v>-0.13315280633945298</v>
      </c>
      <c r="C109" s="168">
        <f>C69*10000/C62</f>
        <v>-0.002736180655853123</v>
      </c>
      <c r="D109" s="168">
        <f>D69*10000/D62</f>
        <v>-0.060528402859860664</v>
      </c>
      <c r="E109" s="168">
        <f>E69*10000/E62</f>
        <v>-0.017191005252277097</v>
      </c>
      <c r="F109" s="168">
        <f>F69*10000/F62</f>
        <v>-0.1189016192433847</v>
      </c>
      <c r="G109" s="168">
        <f>AVERAGE(C109:E109)</f>
        <v>-0.026818529589330297</v>
      </c>
      <c r="H109" s="168">
        <f>STDEV(C109:E109)</f>
        <v>0.030074942318560796</v>
      </c>
      <c r="I109" s="168">
        <f>(B109*B4+C109*C4+D109*D4+E109*E4+F109*F4)/SUM(B4:F4)</f>
        <v>-0.054695685156301826</v>
      </c>
    </row>
    <row r="110" spans="1:11" ht="12.75">
      <c r="A110" s="168" t="s">
        <v>167</v>
      </c>
      <c r="B110" s="168">
        <f>B70*10000/B62</f>
        <v>-0.4379625210760331</v>
      </c>
      <c r="C110" s="168">
        <f>C70*10000/C62</f>
        <v>-0.12888420551320812</v>
      </c>
      <c r="D110" s="168">
        <f>D70*10000/D62</f>
        <v>-0.1193207201863421</v>
      </c>
      <c r="E110" s="168">
        <f>E70*10000/E62</f>
        <v>-0.12242635033159514</v>
      </c>
      <c r="F110" s="168">
        <f>F70*10000/F62</f>
        <v>-0.4320036530872032</v>
      </c>
      <c r="G110" s="168">
        <f>AVERAGE(C110:E110)</f>
        <v>-0.12354375867704846</v>
      </c>
      <c r="H110" s="168">
        <f>STDEV(C110:E110)</f>
        <v>0.004878679530073884</v>
      </c>
      <c r="I110" s="168">
        <f>(B110*B4+C110*C4+D110*D4+E110*E4+F110*F4)/SUM(B4:F4)</f>
        <v>-0.21086499772497108</v>
      </c>
      <c r="K110" s="168">
        <f>EXP(AVERAGE(K103:K107))</f>
        <v>0.02050656690686607</v>
      </c>
    </row>
    <row r="111" spans="1:9" ht="12.75">
      <c r="A111" s="168" t="s">
        <v>168</v>
      </c>
      <c r="B111" s="168">
        <f>B71*10000/B62</f>
        <v>0.009866017133950527</v>
      </c>
      <c r="C111" s="168">
        <f>C71*10000/C62</f>
        <v>-0.0023782796787290518</v>
      </c>
      <c r="D111" s="168">
        <f>D71*10000/D62</f>
        <v>-0.010325526384762578</v>
      </c>
      <c r="E111" s="168">
        <f>E71*10000/E62</f>
        <v>-0.018344677554802992</v>
      </c>
      <c r="F111" s="168">
        <f>F71*10000/F62</f>
        <v>-0.050297230405869704</v>
      </c>
      <c r="G111" s="168">
        <f>AVERAGE(C111:E111)</f>
        <v>-0.01034949453943154</v>
      </c>
      <c r="H111" s="168">
        <f>STDEV(C111:E111)</f>
        <v>0.007983225923059127</v>
      </c>
      <c r="I111" s="168">
        <f>(B111*B4+C111*C4+D111*D4+E111*E4+F111*F4)/SUM(B4:F4)</f>
        <v>-0.012817420029119881</v>
      </c>
    </row>
    <row r="112" spans="1:9" ht="12.75">
      <c r="A112" s="168" t="s">
        <v>169</v>
      </c>
      <c r="B112" s="168">
        <f>B72*10000/B62</f>
        <v>-0.01691306907212081</v>
      </c>
      <c r="C112" s="168">
        <f>C72*10000/C62</f>
        <v>-0.010024586836154299</v>
      </c>
      <c r="D112" s="168">
        <f>D72*10000/D62</f>
        <v>-0.008254056694176221</v>
      </c>
      <c r="E112" s="168">
        <f>E72*10000/E62</f>
        <v>-0.006248003200643916</v>
      </c>
      <c r="F112" s="168">
        <f>F72*10000/F62</f>
        <v>-0.018844546680644097</v>
      </c>
      <c r="G112" s="168">
        <f>AVERAGE(C112:E112)</f>
        <v>-0.008175548910324812</v>
      </c>
      <c r="H112" s="168">
        <f>STDEV(C112:E112)</f>
        <v>0.0018895154387025123</v>
      </c>
      <c r="I112" s="168">
        <f>(B112*B4+C112*C4+D112*D4+E112*E4+F112*F4)/SUM(B4:F4)</f>
        <v>-0.010885679543306217</v>
      </c>
    </row>
    <row r="113" spans="1:9" ht="12.75">
      <c r="A113" s="168" t="s">
        <v>170</v>
      </c>
      <c r="B113" s="168">
        <f>B73*10000/B62</f>
        <v>0.030637911738269102</v>
      </c>
      <c r="C113" s="168">
        <f>C73*10000/C62</f>
        <v>0.029702166765742284</v>
      </c>
      <c r="D113" s="168">
        <f>D73*10000/D62</f>
        <v>0.02715002702428579</v>
      </c>
      <c r="E113" s="168">
        <f>E73*10000/E62</f>
        <v>0.031200968202812433</v>
      </c>
      <c r="F113" s="168">
        <f>F73*10000/F62</f>
        <v>-0.0021541653183469955</v>
      </c>
      <c r="G113" s="168">
        <f>AVERAGE(C113:E113)</f>
        <v>0.029351053997613504</v>
      </c>
      <c r="H113" s="168">
        <f>STDEV(C113:E113)</f>
        <v>0.0020481677763132416</v>
      </c>
      <c r="I113" s="168">
        <f>(B113*B4+C113*C4+D113*D4+E113*E4+F113*F4)/SUM(B4:F4)</f>
        <v>0.025278274040912516</v>
      </c>
    </row>
    <row r="114" spans="1:11" ht="12.75">
      <c r="A114" s="168" t="s">
        <v>171</v>
      </c>
      <c r="B114" s="168">
        <f>B74*10000/B62</f>
        <v>-0.2087981940585543</v>
      </c>
      <c r="C114" s="168">
        <f>C74*10000/C62</f>
        <v>-0.19193911320969148</v>
      </c>
      <c r="D114" s="168">
        <f>D74*10000/D62</f>
        <v>-0.19013450670797422</v>
      </c>
      <c r="E114" s="168">
        <f>E74*10000/E62</f>
        <v>-0.1939508960492324</v>
      </c>
      <c r="F114" s="168">
        <f>F74*10000/F62</f>
        <v>-0.14915758094639436</v>
      </c>
      <c r="G114" s="168">
        <f>AVERAGE(C114:E114)</f>
        <v>-0.19200817198896603</v>
      </c>
      <c r="H114" s="168">
        <f>STDEV(C114:E114)</f>
        <v>0.0019091316710134535</v>
      </c>
      <c r="I114" s="168">
        <f>(B114*B4+C114*C4+D114*D4+E114*E4+F114*F4)/SUM(B4:F4)</f>
        <v>-0.18865079284931224</v>
      </c>
      <c r="J114" s="168" t="s">
        <v>189</v>
      </c>
      <c r="K114" s="168">
        <v>285</v>
      </c>
    </row>
    <row r="115" spans="1:11" ht="12.75">
      <c r="A115" s="168" t="s">
        <v>172</v>
      </c>
      <c r="B115" s="168">
        <f>B75*10000/B62</f>
        <v>0.0006918613695965155</v>
      </c>
      <c r="C115" s="168">
        <f>C75*10000/C62</f>
        <v>-0.005801737807154664</v>
      </c>
      <c r="D115" s="168">
        <f>D75*10000/D62</f>
        <v>-0.0011070777733719287</v>
      </c>
      <c r="E115" s="168">
        <f>E75*10000/E62</f>
        <v>-0.00010962933377966277</v>
      </c>
      <c r="F115" s="168">
        <f>F75*10000/F62</f>
        <v>-0.00263544037801887</v>
      </c>
      <c r="G115" s="168">
        <f>AVERAGE(C115:E115)</f>
        <v>-0.002339481638102085</v>
      </c>
      <c r="H115" s="168">
        <f>STDEV(C115:E115)</f>
        <v>0.0030395952333358866</v>
      </c>
      <c r="I115" s="168">
        <f>(B115*B4+C115*C4+D115*D4+E115*E4+F115*F4)/SUM(B4:F4)</f>
        <v>-0.0019396905299853687</v>
      </c>
      <c r="J115" s="168" t="s">
        <v>190</v>
      </c>
      <c r="K115" s="168">
        <v>0.5536</v>
      </c>
    </row>
    <row r="118" ht="12.75">
      <c r="A118" s="168" t="s">
        <v>155</v>
      </c>
    </row>
    <row r="120" spans="2:9" ht="12.75">
      <c r="B120" s="168" t="s">
        <v>84</v>
      </c>
      <c r="C120" s="168" t="s">
        <v>85</v>
      </c>
      <c r="D120" s="168" t="s">
        <v>86</v>
      </c>
      <c r="E120" s="168" t="s">
        <v>87</v>
      </c>
      <c r="F120" s="168" t="s">
        <v>88</v>
      </c>
      <c r="G120" s="168" t="s">
        <v>157</v>
      </c>
      <c r="H120" s="168" t="s">
        <v>158</v>
      </c>
      <c r="I120" s="168" t="s">
        <v>153</v>
      </c>
    </row>
    <row r="121" spans="1:9" ht="12.75">
      <c r="A121" s="168" t="s">
        <v>173</v>
      </c>
      <c r="B121" s="168">
        <f>B81*10000/B62</f>
        <v>0</v>
      </c>
      <c r="C121" s="168">
        <f>C81*10000/C62</f>
        <v>0</v>
      </c>
      <c r="D121" s="168">
        <f>D81*10000/D62</f>
        <v>0</v>
      </c>
      <c r="E121" s="168">
        <f>E81*10000/E62</f>
        <v>0</v>
      </c>
      <c r="F121" s="168">
        <f>F81*10000/F62</f>
        <v>0</v>
      </c>
      <c r="G121" s="168">
        <f>AVERAGE(C121:E121)</f>
        <v>0</v>
      </c>
      <c r="H121" s="168">
        <f>STDEV(C121:E121)</f>
        <v>0</v>
      </c>
      <c r="I121" s="168">
        <f>(B121*B4+C121*C4+D121*D4+E121*E4+F121*F4)/SUM(B4:F4)</f>
        <v>0</v>
      </c>
    </row>
    <row r="122" spans="1:9" ht="12.75">
      <c r="A122" s="168" t="s">
        <v>174</v>
      </c>
      <c r="B122" s="168">
        <f>B82*10000/B62</f>
        <v>51.190130092407685</v>
      </c>
      <c r="C122" s="168">
        <f>C82*10000/C62</f>
        <v>-4.880762867313751</v>
      </c>
      <c r="D122" s="168">
        <f>D82*10000/D62</f>
        <v>-8.045514975450601</v>
      </c>
      <c r="E122" s="168">
        <f>E82*10000/E62</f>
        <v>-2.587844228346505</v>
      </c>
      <c r="F122" s="168">
        <f>F82*10000/F62</f>
        <v>-27.39848602304186</v>
      </c>
      <c r="G122" s="168">
        <f>AVERAGE(C122:E122)</f>
        <v>-5.17137402370362</v>
      </c>
      <c r="H122" s="168">
        <f>STDEV(C122:E122)</f>
        <v>2.7404166889567425</v>
      </c>
      <c r="I122" s="168">
        <f>(B122*B4+C122*C4+D122*D4+E122*E4+F122*F4)/SUM(B4:F4)</f>
        <v>0.000783736571480111</v>
      </c>
    </row>
    <row r="123" spans="1:9" ht="12.75">
      <c r="A123" s="168" t="s">
        <v>175</v>
      </c>
      <c r="B123" s="168">
        <f>B83*10000/B62</f>
        <v>-0.9478436110427516</v>
      </c>
      <c r="C123" s="168">
        <f>C83*10000/C62</f>
        <v>-2.146943383972956</v>
      </c>
      <c r="D123" s="168">
        <f>D83*10000/D62</f>
        <v>-0.17676642193625147</v>
      </c>
      <c r="E123" s="168">
        <f>E83*10000/E62</f>
        <v>-0.9079286635560736</v>
      </c>
      <c r="F123" s="168">
        <f>F83*10000/F62</f>
        <v>-40.49940450088308</v>
      </c>
      <c r="G123" s="168">
        <f>AVERAGE(C123:E123)</f>
        <v>-1.0772128231550937</v>
      </c>
      <c r="H123" s="168">
        <f>STDEV(C123:E123)</f>
        <v>0.9959378296125739</v>
      </c>
      <c r="I123" s="168">
        <f>(B123*B4+C123*C4+D123*D4+E123*E4+F123*F4)/SUM(B4:F4)</f>
        <v>-6.388297194595117</v>
      </c>
    </row>
    <row r="124" spans="1:9" ht="12.75">
      <c r="A124" s="168" t="s">
        <v>176</v>
      </c>
      <c r="B124" s="168">
        <f>B84*10000/B62</f>
        <v>-0.04313463788226368</v>
      </c>
      <c r="C124" s="168">
        <f>C84*10000/C62</f>
        <v>-1.3675578964789301</v>
      </c>
      <c r="D124" s="168">
        <f>D84*10000/D62</f>
        <v>-2.2095628560945952</v>
      </c>
      <c r="E124" s="168">
        <f>E84*10000/E62</f>
        <v>-0.7696531544317673</v>
      </c>
      <c r="F124" s="168">
        <f>F84*10000/F62</f>
        <v>-1.543463910257336</v>
      </c>
      <c r="G124" s="168">
        <f>AVERAGE(C124:E124)</f>
        <v>-1.4489246356684309</v>
      </c>
      <c r="H124" s="168">
        <f>STDEV(C124:E124)</f>
        <v>0.72339504900188</v>
      </c>
      <c r="I124" s="168">
        <f>(B124*B4+C124*C4+D124*D4+E124*E4+F124*F4)/SUM(B4:F4)</f>
        <v>-1.2577462519801401</v>
      </c>
    </row>
    <row r="125" spans="1:9" ht="12.75">
      <c r="A125" s="168" t="s">
        <v>177</v>
      </c>
      <c r="B125" s="168">
        <f>B85*10000/B62</f>
        <v>0.13779503611458271</v>
      </c>
      <c r="C125" s="168">
        <f>C85*10000/C62</f>
        <v>-0.17354755563604576</v>
      </c>
      <c r="D125" s="168">
        <f>D85*10000/D62</f>
        <v>0.32838275758981306</v>
      </c>
      <c r="E125" s="168">
        <f>E85*10000/E62</f>
        <v>-0.32850467799463395</v>
      </c>
      <c r="F125" s="168">
        <f>F85*10000/F62</f>
        <v>-2.7620513205872457</v>
      </c>
      <c r="G125" s="168">
        <f>AVERAGE(C125:E125)</f>
        <v>-0.057889825346955553</v>
      </c>
      <c r="H125" s="168">
        <f>STDEV(C125:E125)</f>
        <v>0.3433770648847935</v>
      </c>
      <c r="I125" s="168">
        <f>(B125*B4+C125*C4+D125*D4+E125*E4+F125*F4)/SUM(B4:F4)</f>
        <v>-0.39509957832076137</v>
      </c>
    </row>
    <row r="126" spans="1:9" ht="12.75">
      <c r="A126" s="168" t="s">
        <v>178</v>
      </c>
      <c r="B126" s="168">
        <f>B86*10000/B62</f>
        <v>0.37643661813680346</v>
      </c>
      <c r="C126" s="168">
        <f>C86*10000/C62</f>
        <v>-0.05966771925560333</v>
      </c>
      <c r="D126" s="168">
        <f>D86*10000/D62</f>
        <v>0.2106259637961169</v>
      </c>
      <c r="E126" s="168">
        <f>E86*10000/E62</f>
        <v>0.24155173849277237</v>
      </c>
      <c r="F126" s="168">
        <f>F86*10000/F62</f>
        <v>-1.2204543582006426</v>
      </c>
      <c r="G126" s="168">
        <f>AVERAGE(C126:E126)</f>
        <v>0.1308366610110953</v>
      </c>
      <c r="H126" s="168">
        <f>STDEV(C126:E126)</f>
        <v>0.16570467724462778</v>
      </c>
      <c r="I126" s="168">
        <f>(B126*B4+C126*C4+D126*D4+E126*E4+F126*F4)/SUM(B4:F4)</f>
        <v>-0.01622394009026051</v>
      </c>
    </row>
    <row r="127" spans="1:9" ht="12.75">
      <c r="A127" s="168" t="s">
        <v>179</v>
      </c>
      <c r="B127" s="168">
        <f>B87*10000/B62</f>
        <v>-0.17544382176060183</v>
      </c>
      <c r="C127" s="168">
        <f>C87*10000/C62</f>
        <v>-0.058380982328899336</v>
      </c>
      <c r="D127" s="168">
        <f>D87*10000/D62</f>
        <v>-0.15789832932139405</v>
      </c>
      <c r="E127" s="168">
        <f>E87*10000/E62</f>
        <v>-0.16046958039135006</v>
      </c>
      <c r="F127" s="168">
        <f>F87*10000/F62</f>
        <v>-1.6235183483260283</v>
      </c>
      <c r="G127" s="168">
        <f>AVERAGE(C127:E127)</f>
        <v>-0.12558296401388117</v>
      </c>
      <c r="H127" s="168">
        <f>STDEV(C127:E127)</f>
        <v>0.05821282152419399</v>
      </c>
      <c r="I127" s="168">
        <f>(B127*B4+C127*C4+D127*D4+E127*E4+F127*F4)/SUM(B4:F4)</f>
        <v>-0.33533692548714106</v>
      </c>
    </row>
    <row r="128" spans="1:9" ht="12.75">
      <c r="A128" s="168" t="s">
        <v>180</v>
      </c>
      <c r="B128" s="168">
        <f>B88*10000/B62</f>
        <v>0.04186884266164283</v>
      </c>
      <c r="C128" s="168">
        <f>C88*10000/C62</f>
        <v>-0.25775237574843135</v>
      </c>
      <c r="D128" s="168">
        <f>D88*10000/D62</f>
        <v>-0.35163550321417625</v>
      </c>
      <c r="E128" s="168">
        <f>E88*10000/E62</f>
        <v>-0.11716578076715277</v>
      </c>
      <c r="F128" s="168">
        <f>F88*10000/F62</f>
        <v>0.15171504476017636</v>
      </c>
      <c r="G128" s="168">
        <f>AVERAGE(C128:E128)</f>
        <v>-0.24218455324325347</v>
      </c>
      <c r="H128" s="168">
        <f>STDEV(C128:E128)</f>
        <v>0.11800754428959442</v>
      </c>
      <c r="I128" s="168">
        <f>(B128*B4+C128*C4+D128*D4+E128*E4+F128*F4)/SUM(B4:F4)</f>
        <v>-0.14771750386658983</v>
      </c>
    </row>
    <row r="129" spans="1:9" ht="12.75">
      <c r="A129" s="168" t="s">
        <v>181</v>
      </c>
      <c r="B129" s="168">
        <f>B89*10000/B62</f>
        <v>0.10786789957019018</v>
      </c>
      <c r="C129" s="168">
        <f>C89*10000/C62</f>
        <v>0.054158765271316266</v>
      </c>
      <c r="D129" s="168">
        <f>D89*10000/D62</f>
        <v>0.06985546129309196</v>
      </c>
      <c r="E129" s="168">
        <f>E89*10000/E62</f>
        <v>-0.00447856875532808</v>
      </c>
      <c r="F129" s="168">
        <f>F89*10000/F62</f>
        <v>-0.0863938904149549</v>
      </c>
      <c r="G129" s="168">
        <f>AVERAGE(C129:E129)</f>
        <v>0.03984521926969338</v>
      </c>
      <c r="H129" s="168">
        <f>STDEV(C129:E129)</f>
        <v>0.03917965294850485</v>
      </c>
      <c r="I129" s="168">
        <f>(B129*B4+C129*C4+D129*D4+E129*E4+F129*F4)/SUM(B4:F4)</f>
        <v>0.03264689433442043</v>
      </c>
    </row>
    <row r="130" spans="1:9" ht="12.75">
      <c r="A130" s="168" t="s">
        <v>182</v>
      </c>
      <c r="B130" s="168">
        <f>B90*10000/B62</f>
        <v>0.12600292278092906</v>
      </c>
      <c r="C130" s="168">
        <f>C90*10000/C62</f>
        <v>0.0023868450157663295</v>
      </c>
      <c r="D130" s="168">
        <f>D90*10000/D62</f>
        <v>-0.02828792205618586</v>
      </c>
      <c r="E130" s="168">
        <f>E90*10000/E62</f>
        <v>0.03447903765834465</v>
      </c>
      <c r="F130" s="168">
        <f>F90*10000/F62</f>
        <v>0.18259397698416102</v>
      </c>
      <c r="G130" s="168">
        <f>AVERAGE(C130:E130)</f>
        <v>0.002859320205975039</v>
      </c>
      <c r="H130" s="168">
        <f>STDEV(C130:E130)</f>
        <v>0.03138614714416849</v>
      </c>
      <c r="I130" s="168">
        <f>(B130*B4+C130*C4+D130*D4+E130*E4+F130*F4)/SUM(B4:F4)</f>
        <v>0.04502570198643698</v>
      </c>
    </row>
    <row r="131" spans="1:9" ht="12.75">
      <c r="A131" s="168" t="s">
        <v>183</v>
      </c>
      <c r="B131" s="168">
        <f>B91*10000/B62</f>
        <v>-0.01616223333562571</v>
      </c>
      <c r="C131" s="168">
        <f>C91*10000/C62</f>
        <v>0.016466990805190453</v>
      </c>
      <c r="D131" s="168">
        <f>D91*10000/D62</f>
        <v>0.00443843778382722</v>
      </c>
      <c r="E131" s="168">
        <f>E91*10000/E62</f>
        <v>0.00925011084859634</v>
      </c>
      <c r="F131" s="168">
        <f>F91*10000/F62</f>
        <v>-0.04737357397962712</v>
      </c>
      <c r="G131" s="168">
        <f>AVERAGE(C131:E131)</f>
        <v>0.01005184647920467</v>
      </c>
      <c r="H131" s="168">
        <f>STDEV(C131:E131)</f>
        <v>0.006054222242615219</v>
      </c>
      <c r="I131" s="168">
        <f>(B131*B4+C131*C4+D131*D4+E131*E4+F131*F4)/SUM(B4:F4)</f>
        <v>-0.0015153202324738545</v>
      </c>
    </row>
    <row r="132" spans="1:9" ht="12.75">
      <c r="A132" s="168" t="s">
        <v>184</v>
      </c>
      <c r="B132" s="168">
        <f>B92*10000/B62</f>
        <v>-0.010528848205760704</v>
      </c>
      <c r="C132" s="168">
        <f>C92*10000/C62</f>
        <v>-0.022775002701098633</v>
      </c>
      <c r="D132" s="168">
        <f>D92*10000/D62</f>
        <v>-0.037161212148011685</v>
      </c>
      <c r="E132" s="168">
        <f>E92*10000/E62</f>
        <v>-0.011138281446835457</v>
      </c>
      <c r="F132" s="168">
        <f>F92*10000/F62</f>
        <v>0.008245073519586046</v>
      </c>
      <c r="G132" s="168">
        <f>AVERAGE(C132:E132)</f>
        <v>-0.02369149876531526</v>
      </c>
      <c r="H132" s="168">
        <f>STDEV(C132:E132)</f>
        <v>0.013035651282016879</v>
      </c>
      <c r="I132" s="168">
        <f>(B132*B4+C132*C4+D132*D4+E132*E4+F132*F4)/SUM(B4:F4)</f>
        <v>-0.01746398310141364</v>
      </c>
    </row>
    <row r="133" spans="1:9" ht="12.75">
      <c r="A133" s="168" t="s">
        <v>185</v>
      </c>
      <c r="B133" s="168">
        <f>B93*10000/B62</f>
        <v>0.0596006042460107</v>
      </c>
      <c r="C133" s="168">
        <f>C93*10000/C62</f>
        <v>0.06403342680174408</v>
      </c>
      <c r="D133" s="168">
        <f>D93*10000/D62</f>
        <v>0.05708390723443473</v>
      </c>
      <c r="E133" s="168">
        <f>E93*10000/E62</f>
        <v>0.056690440620921885</v>
      </c>
      <c r="F133" s="168">
        <f>F93*10000/F62</f>
        <v>0.033482143978294854</v>
      </c>
      <c r="G133" s="168">
        <f>AVERAGE(C133:E133)</f>
        <v>0.05926925821903356</v>
      </c>
      <c r="H133" s="168">
        <f>STDEV(C133:E133)</f>
        <v>0.0041305787375806036</v>
      </c>
      <c r="I133" s="168">
        <f>(B133*B4+C133*C4+D133*D4+E133*E4+F133*F4)/SUM(B4:F4)</f>
        <v>0.05583093116183208</v>
      </c>
    </row>
    <row r="134" spans="1:9" ht="12.75">
      <c r="A134" s="168" t="s">
        <v>186</v>
      </c>
      <c r="B134" s="168">
        <f>B94*10000/B62</f>
        <v>0.013918496738666068</v>
      </c>
      <c r="C134" s="168">
        <f>C94*10000/C62</f>
        <v>0.017977872368279732</v>
      </c>
      <c r="D134" s="168">
        <f>D94*10000/D62</f>
        <v>0.011603223280394764</v>
      </c>
      <c r="E134" s="168">
        <f>E94*10000/E62</f>
        <v>0.016303595582458415</v>
      </c>
      <c r="F134" s="168">
        <f>F94*10000/F62</f>
        <v>-0.02245864782938428</v>
      </c>
      <c r="G134" s="168">
        <f>AVERAGE(C134:E134)</f>
        <v>0.015294897077044303</v>
      </c>
      <c r="H134" s="168">
        <f>STDEV(C134:E134)</f>
        <v>0.003304866450333004</v>
      </c>
      <c r="I134" s="168">
        <f>(B134*B4+C134*C4+D134*D4+E134*E4+F134*F4)/SUM(B4:F4)</f>
        <v>0.009990947000798977</v>
      </c>
    </row>
    <row r="135" spans="1:9" ht="12.75">
      <c r="A135" s="168" t="s">
        <v>187</v>
      </c>
      <c r="B135" s="168">
        <f>B95*10000/B62</f>
        <v>-0.00310919315490371</v>
      </c>
      <c r="C135" s="168">
        <f>C95*10000/C62</f>
        <v>0.0007889834897201328</v>
      </c>
      <c r="D135" s="168">
        <f>D95*10000/D62</f>
        <v>0.003801287655467607</v>
      </c>
      <c r="E135" s="168">
        <f>E95*10000/E62</f>
        <v>-0.0028471188772717323</v>
      </c>
      <c r="F135" s="168">
        <f>F95*10000/F62</f>
        <v>-0.005770411990802842</v>
      </c>
      <c r="G135" s="168">
        <f>AVERAGE(C135:E135)</f>
        <v>0.0005810507559720024</v>
      </c>
      <c r="H135" s="168">
        <f>STDEV(C135:E135)</f>
        <v>0.003329077105214861</v>
      </c>
      <c r="I135" s="168">
        <f>(B135*B4+C135*C4+D135*D4+E135*E4+F135*F4)/SUM(B4:F4)</f>
        <v>-0.0008130643999172529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2003-12-17T06:53:46Z</cp:lastPrinted>
  <dcterms:created xsi:type="dcterms:W3CDTF">1999-06-17T15:15:05Z</dcterms:created>
  <dcterms:modified xsi:type="dcterms:W3CDTF">2005-10-05T15:25:40Z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1421584721</vt:i4>
  </property>
  <property fmtid="{D5CDD505-2E9C-101B-9397-08002B2CF9AE}" pid="3" name="_EmailSubject">
    <vt:lpwstr>WFM result of aperture 54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