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<sst xmlns="http://schemas.openxmlformats.org/spreadsheetml/2006/main" count="202" uniqueCount="99">
  <si>
    <t xml:space="preserve"> Thu 15/01/2004       11:40:59</t>
  </si>
  <si>
    <t>LE NOA</t>
  </si>
  <si>
    <t>HCMQAP159</t>
  </si>
  <si>
    <t>Aperture2</t>
  </si>
  <si>
    <t>taupe_quadrupole#12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</si>
  <si>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</si>
  <si>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</si>
  <si>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</si>
  <si>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</si>
  <si>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</si>
  <si>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</si>
  <si>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</si>
  <si>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</si>
  <si>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</si>
  <si>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</si>
  <si>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</si>
  <si>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</si>
  <si>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</si>
  <si>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</si>
  <si>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</si>
  <si>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</si>
  <si>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</si>
  <si>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</si>
  <si>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</si>
  <si>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</si>
  <si>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</si>
  <si>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</si>
  <si>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</si>
  <si>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</si>
  <si>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</si>
  <si>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</si>
  <si>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</si>
  <si>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</si>
  <si>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</si>
  <si>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</si>
  <si>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</si>
  <si>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</si>
  <si>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</si>
  <si>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</si>
  <si>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</si>
  <si>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</si>
  <si>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</si>
  <si>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</si>
  <si>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</si>
  <si>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</si>
  <si>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</si>
  <si>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</si>
  <si>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</si>
  <si>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* = Integral error  ! = Central error           Conclusion : ACCEPTED           Duration : 30mn</t>
  </si>
  <si>
    <t>Number of measurement</t>
  </si>
  <si>
    <t>Mean real current</t>
  </si>
  <si>
    <t>Duration : 30mn</t>
  </si>
  <si>
    <t>Dx moy(m)</t>
  </si>
  <si>
    <t>Dy moy(m)</t>
  </si>
  <si>
    <t>b6*</t>
  </si>
  <si>
    <t>Dx moy (mm)</t>
  </si>
  <si>
    <t>Dy moy (mm)</t>
  </si>
  <si>
    <t>* = Integral error  ! = Central error           Conclusion : CONTACT CEA           Duration : 30mn</t>
  </si>
  <si>
    <t>Dx corrected</t>
  </si>
  <si>
    <t>Dy corrected</t>
  </si>
  <si>
    <t>Feed down</t>
  </si>
  <si>
    <t>b1'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</si>
  <si>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</si>
  <si>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</si>
  <si>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</si>
  <si>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</si>
  <si>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</si>
  <si>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</si>
  <si>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</si>
  <si>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</si>
  <si>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</si>
  <si>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</si>
  <si>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</si>
  <si>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</si>
  <si>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</si>
  <si>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</si>
  <si>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</si>
  <si>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</si>
  <si>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</si>
  <si>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</si>
  <si>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</si>
  <si>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</si>
  <si>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</si>
  <si>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</si>
  <si>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</si>
  <si>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</si>
  <si>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</si>
  <si>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</si>
  <si>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</si>
  <si>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</si>
  <si>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</si>
  <si>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Feed down normalised</t>
  </si>
  <si>
    <t>Central</t>
  </si>
  <si>
    <t>Sigma</t>
  </si>
  <si>
    <t>Integrals</t>
  </si>
  <si>
    <t>Coil Waviness</t>
  </si>
  <si>
    <t>alpha</t>
  </si>
  <si>
    <t>beta</t>
  </si>
  <si>
    <t>Taupe_quadrupole#12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</si>
</sst>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Result_HCMQAP!$B$8:$F$8</c:f>
              <c:numCache>
                <c:ptCount val="5"/>
                <c:pt idx="0">
                  <c:v>-0.3407613</c:v>
                </c:pt>
                <c:pt idx="1">
                  <c:v>0.10816</c:v>
                </c:pt>
                <c:pt idx="2">
                  <c:v>-0.07996019</c:v>
                </c:pt>
                <c:pt idx="3">
                  <c:v>-1.11656</c:v>
                </c:pt>
                <c:pt idx="4">
                  <c:v>-1.308208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Result_HCMQAP!$B$23:$F$23</c:f>
              <c:numCache>
                <c:ptCount val="5"/>
                <c:pt idx="0">
                  <c:v>-1.339954</c:v>
                </c:pt>
                <c:pt idx="1">
                  <c:v>2.509502</c:v>
                </c:pt>
                <c:pt idx="2">
                  <c:v>2.110064</c:v>
                </c:pt>
                <c:pt idx="3">
                  <c:v>1.699153</c:v>
                </c:pt>
                <c:pt idx="4">
                  <c:v>4.591029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Result_HCMQAP!$B$11:$F$11</c:f>
              <c:numCache>
                <c:ptCount val="5"/>
                <c:pt idx="0">
                  <c:v>4.09339</c:v>
                </c:pt>
                <c:pt idx="1">
                  <c:v>4.501095</c:v>
                </c:pt>
                <c:pt idx="2">
                  <c:v>4.276446</c:v>
                </c:pt>
                <c:pt idx="3">
                  <c:v>4.298621</c:v>
                </c:pt>
                <c:pt idx="4">
                  <c:v>14.86577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Result_HCMQAP!$B$26:$F$26</c:f>
              <c:numCache>
                <c:ptCount val="5"/>
                <c:pt idx="0">
                  <c:v>-0.05096107</c:v>
                </c:pt>
                <c:pt idx="1">
                  <c:v>0.6289989</c:v>
                </c:pt>
                <c:pt idx="2">
                  <c:v>0.06662862</c:v>
                </c:pt>
                <c:pt idx="3">
                  <c:v>0.4410782</c:v>
                </c:pt>
                <c:pt idx="4">
                  <c:v>1.695406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Result_HCMQAP!$B$9:$F$9</c:f>
              <c:numCache>
                <c:ptCount val="5"/>
                <c:pt idx="0">
                  <c:v>0.05315974</c:v>
                </c:pt>
                <c:pt idx="1">
                  <c:v>-0.2843268</c:v>
                </c:pt>
                <c:pt idx="2">
                  <c:v>-0.5373124</c:v>
                </c:pt>
                <c:pt idx="3">
                  <c:v>0.09409534</c:v>
                </c:pt>
                <c:pt idx="4">
                  <c:v>-1.482267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Result_HCMQAP!$B$24:$F$24</c:f>
              <c:numCache>
                <c:ptCount val="5"/>
                <c:pt idx="0">
                  <c:v>-2.930034</c:v>
                </c:pt>
                <c:pt idx="1">
                  <c:v>1.146426</c:v>
                </c:pt>
                <c:pt idx="2">
                  <c:v>-1.28104</c:v>
                </c:pt>
                <c:pt idx="3">
                  <c:v>1.678325</c:v>
                </c:pt>
                <c:pt idx="4">
                  <c:v>2.543315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Result_HCMQAP!$B$10:$F$10</c:f>
              <c:numCache>
                <c:ptCount val="5"/>
                <c:pt idx="0">
                  <c:v>0.1388459</c:v>
                </c:pt>
                <c:pt idx="1">
                  <c:v>-0.1091428</c:v>
                </c:pt>
                <c:pt idx="2">
                  <c:v>-0.0330486</c:v>
                </c:pt>
                <c:pt idx="3">
                  <c:v>0.3031476</c:v>
                </c:pt>
                <c:pt idx="4">
                  <c:v>0.05316615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Result_HCMQAP!$B$25:$F$25</c:f>
              <c:numCache>
                <c:ptCount val="5"/>
                <c:pt idx="0">
                  <c:v>0.3204421</c:v>
                </c:pt>
                <c:pt idx="1">
                  <c:v>0.7971119</c:v>
                </c:pt>
                <c:pt idx="2">
                  <c:v>1.030933</c:v>
                </c:pt>
                <c:pt idx="3">
                  <c:v>0.6868064</c:v>
                </c:pt>
                <c:pt idx="4">
                  <c:v>-1.99417</c:v>
                </c:pt>
              </c:numCache>
            </c:numRef>
          </c:val>
          <c:smooth val="0"/>
        </c:ser>
        <c:marker val="1"/>
        <c:axId val="53336"/>
        <c:axId val="480025"/>
      </c:lineChart>
      <c:catAx>
        <c:axId val="533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80025"/>
        <c:crosses val="autoZero"/>
        <c:auto val="1"/>
        <c:lblOffset val="100"/>
        <c:noMultiLvlLbl val="0"/>
      </c:catAx>
      <c:valAx>
        <c:axId val="480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333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46</xdr:row>
      <xdr:rowOff>28575</xdr:rowOff>
    </xdr:from>
    <xdr:to>
      <xdr:col>7</xdr:col>
      <xdr:colOff>161925</xdr:colOff>
      <xdr:row>65</xdr:row>
      <xdr:rowOff>66675</xdr:rowOff>
    </xdr:to>
    <xdr:graphicFrame>
      <xdr:nvGraphicFramePr>
        <xdr:cNvPr id="1" name="Chart 1"/>
        <xdr:cNvGraphicFramePr/>
      </xdr:nvGraphicFramePr>
      <xdr:xfrm>
        <a:off x="609600" y="714375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H2" sqref="H2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f>-0.002257*1.0033</f>
        <v>-0.0022644481</v>
      </c>
      <c r="C4" s="13">
        <f>-0.00375*1.0033</f>
        <v>-0.003762375</v>
      </c>
      <c r="D4" s="13">
        <f>-0.003748*1.0033</f>
        <v>-0.0037603684</v>
      </c>
      <c r="E4" s="13">
        <f>-0.003748*1.0033</f>
        <v>-0.0037603684</v>
      </c>
      <c r="F4" s="24">
        <f>-0.002076*1.0033</f>
        <v>-0.0020828508000000005</v>
      </c>
      <c r="G4" s="34">
        <f>-0.011682*1.0033</f>
        <v>-0.0117205506</v>
      </c>
    </row>
    <row r="5" spans="1:7" ht="12.75" thickBot="1">
      <c r="A5" s="44" t="s">
        <v>13</v>
      </c>
      <c r="B5" s="45">
        <v>-2.224968</v>
      </c>
      <c r="C5" s="46">
        <v>-0.962123</v>
      </c>
      <c r="D5" s="46">
        <v>-0.104378</v>
      </c>
      <c r="E5" s="46">
        <v>1.572514</v>
      </c>
      <c r="F5" s="47">
        <v>1.51769</v>
      </c>
      <c r="G5" s="48">
        <v>4.365384</v>
      </c>
    </row>
    <row r="6" spans="1:7" ht="12.75" thickTop="1">
      <c r="A6" s="6" t="s">
        <v>14</v>
      </c>
      <c r="B6" s="39">
        <v>62.29757</v>
      </c>
      <c r="C6" s="40">
        <v>-77.00401</v>
      </c>
      <c r="D6" s="40">
        <v>-6.101549</v>
      </c>
      <c r="E6" s="40">
        <v>2.88621</v>
      </c>
      <c r="F6" s="41">
        <v>77.15381</v>
      </c>
      <c r="G6" s="42">
        <v>-0.001378245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-0.3407613</v>
      </c>
      <c r="C8" s="14">
        <v>0.10816</v>
      </c>
      <c r="D8" s="14">
        <v>-0.07996019</v>
      </c>
      <c r="E8" s="14">
        <v>-1.11656</v>
      </c>
      <c r="F8" s="25">
        <v>-1.308208</v>
      </c>
      <c r="G8" s="35">
        <v>-0.4855002</v>
      </c>
    </row>
    <row r="9" spans="1:7" ht="12">
      <c r="A9" s="20" t="s">
        <v>17</v>
      </c>
      <c r="B9" s="29">
        <v>0.05315974</v>
      </c>
      <c r="C9" s="14">
        <v>-0.2843268</v>
      </c>
      <c r="D9" s="14">
        <v>-0.5373124</v>
      </c>
      <c r="E9" s="14">
        <v>0.09409534</v>
      </c>
      <c r="F9" s="25">
        <v>-1.482267</v>
      </c>
      <c r="G9" s="35">
        <v>-0.3648924</v>
      </c>
    </row>
    <row r="10" spans="1:7" ht="12">
      <c r="A10" s="20" t="s">
        <v>18</v>
      </c>
      <c r="B10" s="29">
        <v>0.1388459</v>
      </c>
      <c r="C10" s="14">
        <v>-0.1091428</v>
      </c>
      <c r="D10" s="14">
        <v>-0.0330486</v>
      </c>
      <c r="E10" s="14">
        <v>0.3031476</v>
      </c>
      <c r="F10" s="25">
        <v>0.05316615</v>
      </c>
      <c r="G10" s="35">
        <v>0.06590942</v>
      </c>
    </row>
    <row r="11" spans="1:7" ht="12">
      <c r="A11" s="21" t="s">
        <v>19</v>
      </c>
      <c r="B11" s="31">
        <v>4.09339</v>
      </c>
      <c r="C11" s="16">
        <v>4.501095</v>
      </c>
      <c r="D11" s="16">
        <v>4.276446</v>
      </c>
      <c r="E11" s="16">
        <v>4.298621</v>
      </c>
      <c r="F11" s="27">
        <v>14.86577</v>
      </c>
      <c r="G11" s="37">
        <v>5.720432</v>
      </c>
    </row>
    <row r="12" spans="1:7" ht="12">
      <c r="A12" s="20" t="s">
        <v>20</v>
      </c>
      <c r="B12" s="29">
        <v>0.06191002</v>
      </c>
      <c r="C12" s="14">
        <v>0.2276662</v>
      </c>
      <c r="D12" s="14">
        <v>0.2513173</v>
      </c>
      <c r="E12" s="14">
        <v>-0.03753398</v>
      </c>
      <c r="F12" s="25">
        <v>-0.09150812</v>
      </c>
      <c r="G12" s="35">
        <v>0.10301</v>
      </c>
    </row>
    <row r="13" spans="1:7" ht="12">
      <c r="A13" s="20" t="s">
        <v>21</v>
      </c>
      <c r="B13" s="29">
        <v>0.1135136</v>
      </c>
      <c r="C13" s="14">
        <v>-0.09646196</v>
      </c>
      <c r="D13" s="14">
        <v>-0.1509063</v>
      </c>
      <c r="E13" s="14">
        <v>-0.07742218</v>
      </c>
      <c r="F13" s="25">
        <v>0.03225852</v>
      </c>
      <c r="G13" s="35">
        <v>-0.05740508</v>
      </c>
    </row>
    <row r="14" spans="1:7" ht="12">
      <c r="A14" s="20" t="s">
        <v>22</v>
      </c>
      <c r="B14" s="29">
        <v>-0.01917474</v>
      </c>
      <c r="C14" s="14">
        <v>0.02763768</v>
      </c>
      <c r="D14" s="14">
        <v>-0.00240042</v>
      </c>
      <c r="E14" s="14">
        <v>-0.02547442</v>
      </c>
      <c r="F14" s="25">
        <v>-0.01282538</v>
      </c>
      <c r="G14" s="35">
        <v>-0.004540094</v>
      </c>
    </row>
    <row r="15" spans="1:7" ht="12">
      <c r="A15" s="21" t="s">
        <v>23</v>
      </c>
      <c r="B15" s="31">
        <v>-0.2859736</v>
      </c>
      <c r="C15" s="16">
        <v>0.02975358</v>
      </c>
      <c r="D15" s="16">
        <v>0.03270744</v>
      </c>
      <c r="E15" s="16">
        <v>-0.01201514</v>
      </c>
      <c r="F15" s="27">
        <v>-0.2726276</v>
      </c>
      <c r="G15" s="37">
        <v>-0.06562078</v>
      </c>
    </row>
    <row r="16" spans="1:7" ht="12">
      <c r="A16" s="20" t="s">
        <v>24</v>
      </c>
      <c r="B16" s="29">
        <v>-0.008716222</v>
      </c>
      <c r="C16" s="14">
        <v>0.006623109</v>
      </c>
      <c r="D16" s="14">
        <v>0.02580924</v>
      </c>
      <c r="E16" s="14">
        <v>0.0179911</v>
      </c>
      <c r="F16" s="25">
        <v>0.004429708</v>
      </c>
      <c r="G16" s="35">
        <v>0.011459</v>
      </c>
    </row>
    <row r="17" spans="1:7" ht="12">
      <c r="A17" s="20" t="s">
        <v>25</v>
      </c>
      <c r="B17" s="29">
        <v>-0.007927701</v>
      </c>
      <c r="C17" s="14">
        <v>-0.008848121</v>
      </c>
      <c r="D17" s="14">
        <v>-0.00233556</v>
      </c>
      <c r="E17" s="14">
        <v>-0.003579308</v>
      </c>
      <c r="F17" s="25">
        <v>-0.01654663</v>
      </c>
      <c r="G17" s="35">
        <v>-0.006906137</v>
      </c>
    </row>
    <row r="18" spans="1:7" ht="12">
      <c r="A18" s="20" t="s">
        <v>26</v>
      </c>
      <c r="B18" s="29">
        <v>0.00767006</v>
      </c>
      <c r="C18" s="14">
        <v>0.03379689</v>
      </c>
      <c r="D18" s="14">
        <v>0.01927357</v>
      </c>
      <c r="E18" s="14">
        <v>0.01579855</v>
      </c>
      <c r="F18" s="25">
        <v>-0.0166281</v>
      </c>
      <c r="G18" s="35">
        <v>0.01546888</v>
      </c>
    </row>
    <row r="19" spans="1:7" ht="12">
      <c r="A19" s="21" t="s">
        <v>27</v>
      </c>
      <c r="B19" s="31">
        <v>-0.1940111</v>
      </c>
      <c r="C19" s="16">
        <v>-0.1795063</v>
      </c>
      <c r="D19" s="16">
        <v>-0.1791642</v>
      </c>
      <c r="E19" s="16">
        <v>-0.1831759</v>
      </c>
      <c r="F19" s="27">
        <v>-0.1428939</v>
      </c>
      <c r="G19" s="37">
        <v>-0.1775292</v>
      </c>
    </row>
    <row r="20" spans="1:7" ht="12.75" thickBot="1">
      <c r="A20" s="44" t="s">
        <v>28</v>
      </c>
      <c r="B20" s="45">
        <v>-0.004219785</v>
      </c>
      <c r="C20" s="46">
        <v>-0.00403667</v>
      </c>
      <c r="D20" s="46">
        <v>-0.00455064</v>
      </c>
      <c r="E20" s="46">
        <v>-0.001724026</v>
      </c>
      <c r="F20" s="47">
        <v>0.000627994</v>
      </c>
      <c r="G20" s="48">
        <v>-0.003008931</v>
      </c>
    </row>
    <row r="21" spans="1:7" ht="12.75" thickTop="1">
      <c r="A21" s="6" t="s">
        <v>29</v>
      </c>
      <c r="B21" s="39">
        <v>-24.60418</v>
      </c>
      <c r="C21" s="40">
        <v>-24.0583</v>
      </c>
      <c r="D21" s="40">
        <v>86.53385</v>
      </c>
      <c r="E21" s="40">
        <v>33.83029</v>
      </c>
      <c r="F21" s="41">
        <v>-147.1196</v>
      </c>
      <c r="G21" s="43">
        <v>-0.002492385</v>
      </c>
    </row>
    <row r="22" spans="1:7" ht="12">
      <c r="A22" s="20" t="s">
        <v>30</v>
      </c>
      <c r="B22" s="29">
        <v>-44.49966</v>
      </c>
      <c r="C22" s="14">
        <v>-19.24247</v>
      </c>
      <c r="D22" s="14">
        <v>-2.087564</v>
      </c>
      <c r="E22" s="14">
        <v>31.45039</v>
      </c>
      <c r="F22" s="25">
        <v>30.35389</v>
      </c>
      <c r="G22" s="36">
        <v>0</v>
      </c>
    </row>
    <row r="23" spans="1:7" ht="12">
      <c r="A23" s="20" t="s">
        <v>31</v>
      </c>
      <c r="B23" s="29">
        <v>-1.339954</v>
      </c>
      <c r="C23" s="14">
        <v>2.509502</v>
      </c>
      <c r="D23" s="14">
        <v>2.110064</v>
      </c>
      <c r="E23" s="14">
        <v>1.699153</v>
      </c>
      <c r="F23" s="25">
        <v>4.591029</v>
      </c>
      <c r="G23" s="35">
        <v>1.93811</v>
      </c>
    </row>
    <row r="24" spans="1:7" ht="12">
      <c r="A24" s="20" t="s">
        <v>32</v>
      </c>
      <c r="B24" s="29">
        <v>-2.930034</v>
      </c>
      <c r="C24" s="14">
        <v>1.146426</v>
      </c>
      <c r="D24" s="14">
        <v>-1.28104</v>
      </c>
      <c r="E24" s="14">
        <v>1.678325</v>
      </c>
      <c r="F24" s="25">
        <v>2.543315</v>
      </c>
      <c r="G24" s="35">
        <v>0.2858858</v>
      </c>
    </row>
    <row r="25" spans="1:7" ht="12">
      <c r="A25" s="20" t="s">
        <v>33</v>
      </c>
      <c r="B25" s="29">
        <v>0.3204421</v>
      </c>
      <c r="C25" s="14">
        <v>0.7971119</v>
      </c>
      <c r="D25" s="14">
        <v>1.030933</v>
      </c>
      <c r="E25" s="14">
        <v>0.6868064</v>
      </c>
      <c r="F25" s="25">
        <v>-1.99417</v>
      </c>
      <c r="G25" s="35">
        <v>0.3858125</v>
      </c>
    </row>
    <row r="26" spans="1:7" ht="12">
      <c r="A26" s="21" t="s">
        <v>34</v>
      </c>
      <c r="B26" s="31">
        <v>-0.05096107</v>
      </c>
      <c r="C26" s="16">
        <v>0.6289989</v>
      </c>
      <c r="D26" s="16">
        <v>0.06662862</v>
      </c>
      <c r="E26" s="16">
        <v>0.4410782</v>
      </c>
      <c r="F26" s="27">
        <v>1.695406</v>
      </c>
      <c r="G26" s="37">
        <v>0.4920292</v>
      </c>
    </row>
    <row r="27" spans="1:7" ht="12">
      <c r="A27" s="20" t="s">
        <v>35</v>
      </c>
      <c r="B27" s="29">
        <v>-0.1484676</v>
      </c>
      <c r="C27" s="14">
        <v>-0.01852914</v>
      </c>
      <c r="D27" s="14">
        <v>-0.2061257</v>
      </c>
      <c r="E27" s="14">
        <v>-0.1052636</v>
      </c>
      <c r="F27" s="25">
        <v>0.3476951</v>
      </c>
      <c r="G27" s="35">
        <v>-0.05455409</v>
      </c>
    </row>
    <row r="28" spans="1:7" ht="12">
      <c r="A28" s="20" t="s">
        <v>36</v>
      </c>
      <c r="B28" s="29">
        <v>-0.3089561</v>
      </c>
      <c r="C28" s="14">
        <v>0.1001509</v>
      </c>
      <c r="D28" s="14">
        <v>-0.1712001</v>
      </c>
      <c r="E28" s="14">
        <v>0.1731872</v>
      </c>
      <c r="F28" s="25">
        <v>0.3892083</v>
      </c>
      <c r="G28" s="35">
        <v>0.03168239</v>
      </c>
    </row>
    <row r="29" spans="1:7" ht="12">
      <c r="A29" s="20" t="s">
        <v>37</v>
      </c>
      <c r="B29" s="29">
        <v>0.09813032</v>
      </c>
      <c r="C29" s="14">
        <v>0.05039451</v>
      </c>
      <c r="D29" s="14">
        <v>0.02995007</v>
      </c>
      <c r="E29" s="14">
        <v>0.01833844</v>
      </c>
      <c r="F29" s="25">
        <v>-0.001750114</v>
      </c>
      <c r="G29" s="35">
        <v>0.03773175</v>
      </c>
    </row>
    <row r="30" spans="1:7" ht="12">
      <c r="A30" s="21" t="s">
        <v>38</v>
      </c>
      <c r="B30" s="31">
        <v>0.05219685</v>
      </c>
      <c r="C30" s="16">
        <v>0.08960214</v>
      </c>
      <c r="D30" s="16">
        <v>0.07937804</v>
      </c>
      <c r="E30" s="16">
        <v>0.03257629</v>
      </c>
      <c r="F30" s="27">
        <v>0.2652514</v>
      </c>
      <c r="G30" s="37">
        <v>0.09141171</v>
      </c>
    </row>
    <row r="31" spans="1:7" ht="12">
      <c r="A31" s="20" t="s">
        <v>39</v>
      </c>
      <c r="B31" s="29">
        <v>0.006253955</v>
      </c>
      <c r="C31" s="14">
        <v>0.003304807</v>
      </c>
      <c r="D31" s="14">
        <v>-0.03220454</v>
      </c>
      <c r="E31" s="14">
        <v>-0.02177521</v>
      </c>
      <c r="F31" s="25">
        <v>0.002846902</v>
      </c>
      <c r="G31" s="35">
        <v>-0.01090578</v>
      </c>
    </row>
    <row r="32" spans="1:7" ht="12">
      <c r="A32" s="20" t="s">
        <v>40</v>
      </c>
      <c r="B32" s="29">
        <v>-0.02078044</v>
      </c>
      <c r="C32" s="14">
        <v>0.01289251</v>
      </c>
      <c r="D32" s="14">
        <v>-0.01364902</v>
      </c>
      <c r="E32" s="14">
        <v>0.0201513</v>
      </c>
      <c r="F32" s="25">
        <v>0.04563683</v>
      </c>
      <c r="G32" s="35">
        <v>0.007737888</v>
      </c>
    </row>
    <row r="33" spans="1:7" ht="12">
      <c r="A33" s="20" t="s">
        <v>41</v>
      </c>
      <c r="B33" s="29">
        <v>0.06849014</v>
      </c>
      <c r="C33" s="14">
        <v>0.04177298</v>
      </c>
      <c r="D33" s="14">
        <v>0.02219243</v>
      </c>
      <c r="E33" s="14">
        <v>0.04255511</v>
      </c>
      <c r="F33" s="25">
        <v>0.05111444</v>
      </c>
      <c r="G33" s="35">
        <v>0.04236563</v>
      </c>
    </row>
    <row r="34" spans="1:7" ht="12">
      <c r="A34" s="21" t="s">
        <v>42</v>
      </c>
      <c r="B34" s="31">
        <v>0.01981338</v>
      </c>
      <c r="C34" s="16">
        <v>0.02509588</v>
      </c>
      <c r="D34" s="16">
        <v>0.0237302</v>
      </c>
      <c r="E34" s="16">
        <v>0.01196382</v>
      </c>
      <c r="F34" s="27">
        <v>-0.01839191</v>
      </c>
      <c r="G34" s="37">
        <v>0.01505146</v>
      </c>
    </row>
    <row r="35" spans="1:7" ht="12.75" thickBot="1">
      <c r="A35" s="22" t="s">
        <v>43</v>
      </c>
      <c r="B35" s="32">
        <v>2.175932E-06</v>
      </c>
      <c r="C35" s="17">
        <v>-0.000497046</v>
      </c>
      <c r="D35" s="17">
        <v>0.000522537</v>
      </c>
      <c r="E35" s="17">
        <v>-0.0003471684</v>
      </c>
      <c r="F35" s="28">
        <v>-0.004726391</v>
      </c>
      <c r="G35" s="38">
        <v>-0.0007068787</v>
      </c>
    </row>
    <row r="36" spans="1:7" ht="12">
      <c r="A36" s="4" t="s">
        <v>44</v>
      </c>
      <c r="B36" s="3">
        <v>19.46716</v>
      </c>
      <c r="C36" s="3">
        <v>19.47327</v>
      </c>
      <c r="D36" s="3">
        <v>19.49463</v>
      </c>
      <c r="E36" s="3">
        <v>19.50378</v>
      </c>
      <c r="F36" s="3">
        <v>19.5282</v>
      </c>
      <c r="G36" s="3"/>
    </row>
    <row r="37" spans="1:6" ht="12">
      <c r="A37" s="4" t="s">
        <v>45</v>
      </c>
      <c r="B37" s="2">
        <v>0.3351847</v>
      </c>
      <c r="C37" s="2">
        <v>0.3255208</v>
      </c>
      <c r="D37" s="2">
        <v>0.3128052</v>
      </c>
      <c r="E37" s="2">
        <v>0.3077189</v>
      </c>
      <c r="F37" s="2">
        <v>0.3000895</v>
      </c>
    </row>
    <row r="38" spans="1:7" ht="12">
      <c r="A38" s="4" t="s">
        <v>52</v>
      </c>
      <c r="B38" s="2">
        <v>-0.0001060899</v>
      </c>
      <c r="C38" s="2">
        <v>0.0001308276</v>
      </c>
      <c r="D38" s="2">
        <v>1.040334E-05</v>
      </c>
      <c r="E38" s="2">
        <v>0</v>
      </c>
      <c r="F38" s="2">
        <v>-0.0001304011</v>
      </c>
      <c r="G38" s="2">
        <v>0.0001844443</v>
      </c>
    </row>
    <row r="39" spans="1:7" ht="12.75" thickBot="1">
      <c r="A39" s="4" t="s">
        <v>53</v>
      </c>
      <c r="B39" s="2">
        <v>4.1355E-05</v>
      </c>
      <c r="C39" s="2">
        <v>4.115085E-05</v>
      </c>
      <c r="D39" s="2">
        <v>-0.0001471054</v>
      </c>
      <c r="E39" s="2">
        <v>-5.749549E-05</v>
      </c>
      <c r="F39" s="2">
        <v>0.0002504992</v>
      </c>
      <c r="G39" s="2">
        <v>0.0005640386</v>
      </c>
    </row>
    <row r="40" spans="2:5" ht="12.75" thickBot="1">
      <c r="B40" s="7" t="s">
        <v>46</v>
      </c>
      <c r="C40" s="8">
        <v>-0.003748</v>
      </c>
      <c r="D40" s="18" t="s">
        <v>47</v>
      </c>
      <c r="E40" s="9">
        <v>3.116539</v>
      </c>
    </row>
    <row r="41" spans="1:6" ht="12">
      <c r="A41" s="5" t="s">
        <v>48</v>
      </c>
      <c r="F41" s="1" t="s">
        <v>51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12.516</v>
      </c>
      <c r="C43" s="1">
        <v>12.515</v>
      </c>
      <c r="D43" s="1">
        <v>12.515</v>
      </c>
      <c r="E43" s="1">
        <v>12.515</v>
      </c>
      <c r="F43" s="1">
        <v>12.515</v>
      </c>
      <c r="G43" s="1">
        <v>12.515</v>
      </c>
    </row>
  </sheetData>
  <printOptions/>
  <pageMargins left="0.7086614173228347" right="0.7086614173228347" top="0" bottom="0" header="0" footer="0.5118110236220472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9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s="4" t="s">
        <v>0</v>
      </c>
      <c r="B1" s="1" t="s">
        <v>1</v>
      </c>
      <c r="C1" t="s">
        <v>2</v>
      </c>
      <c r="D1" t="s">
        <v>3</v>
      </c>
      <c r="E1" t="s">
        <v>98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</v>
      </c>
      <c r="D4">
        <v>0.003748</v>
      </c>
      <c r="E4">
        <v>0.003748</v>
      </c>
      <c r="F4">
        <v>0.002076</v>
      </c>
      <c r="G4">
        <v>0.011682</v>
      </c>
    </row>
    <row r="5" spans="1:7" ht="12.75">
      <c r="A5" t="s">
        <v>13</v>
      </c>
      <c r="B5">
        <v>-2.224968</v>
      </c>
      <c r="C5">
        <v>-0.962123</v>
      </c>
      <c r="D5">
        <v>-0.104378</v>
      </c>
      <c r="E5">
        <v>1.572514</v>
      </c>
      <c r="F5">
        <v>1.51769</v>
      </c>
      <c r="G5">
        <v>4.365384</v>
      </c>
    </row>
    <row r="6" spans="1:7" ht="12.75">
      <c r="A6" t="s">
        <v>14</v>
      </c>
      <c r="B6" s="49">
        <v>62.29757</v>
      </c>
      <c r="C6" s="49">
        <v>-77.00401</v>
      </c>
      <c r="D6" s="49">
        <v>-6.101549</v>
      </c>
      <c r="E6" s="49">
        <v>2.88621</v>
      </c>
      <c r="F6" s="49">
        <v>77.15381</v>
      </c>
      <c r="G6" s="49">
        <v>-0.001378245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-0.3407613</v>
      </c>
      <c r="C8" s="49">
        <v>0.10816</v>
      </c>
      <c r="D8" s="49">
        <v>-0.07996019</v>
      </c>
      <c r="E8" s="49">
        <v>-1.11656</v>
      </c>
      <c r="F8" s="49">
        <v>-1.308208</v>
      </c>
      <c r="G8" s="49">
        <v>-0.4855002</v>
      </c>
    </row>
    <row r="9" spans="1:7" ht="12.75">
      <c r="A9" t="s">
        <v>17</v>
      </c>
      <c r="B9" s="49">
        <v>0.05315974</v>
      </c>
      <c r="C9" s="49">
        <v>-0.2843268</v>
      </c>
      <c r="D9" s="49">
        <v>-0.5373124</v>
      </c>
      <c r="E9" s="49">
        <v>0.09409534</v>
      </c>
      <c r="F9" s="49">
        <v>-1.482267</v>
      </c>
      <c r="G9" s="49">
        <v>-0.3648924</v>
      </c>
    </row>
    <row r="10" spans="1:7" ht="12.75">
      <c r="A10" t="s">
        <v>18</v>
      </c>
      <c r="B10" s="49">
        <v>0.1388459</v>
      </c>
      <c r="C10" s="49">
        <v>-0.1091428</v>
      </c>
      <c r="D10" s="49">
        <v>-0.0330486</v>
      </c>
      <c r="E10" s="49">
        <v>0.3031476</v>
      </c>
      <c r="F10" s="49">
        <v>0.05316615</v>
      </c>
      <c r="G10" s="49">
        <v>0.06590942</v>
      </c>
    </row>
    <row r="11" spans="1:7" ht="12.75">
      <c r="A11" t="s">
        <v>54</v>
      </c>
      <c r="B11" s="49">
        <v>4.09339</v>
      </c>
      <c r="C11" s="49">
        <v>4.501095</v>
      </c>
      <c r="D11" s="49">
        <v>4.276446</v>
      </c>
      <c r="E11" s="49">
        <v>4.298621</v>
      </c>
      <c r="F11" s="49">
        <v>14.86577</v>
      </c>
      <c r="G11" s="49">
        <v>5.720432</v>
      </c>
    </row>
    <row r="12" spans="1:7" ht="12.75">
      <c r="A12" t="s">
        <v>20</v>
      </c>
      <c r="B12" s="49">
        <v>0.06191002</v>
      </c>
      <c r="C12" s="49">
        <v>0.2276662</v>
      </c>
      <c r="D12" s="49">
        <v>0.2513173</v>
      </c>
      <c r="E12" s="49">
        <v>-0.03753398</v>
      </c>
      <c r="F12" s="49">
        <v>-0.09150812</v>
      </c>
      <c r="G12" s="49">
        <v>0.10301</v>
      </c>
    </row>
    <row r="13" spans="1:7" ht="12.75">
      <c r="A13" t="s">
        <v>21</v>
      </c>
      <c r="B13" s="49">
        <v>0.1135136</v>
      </c>
      <c r="C13" s="49">
        <v>-0.09646196</v>
      </c>
      <c r="D13" s="49">
        <v>-0.1509063</v>
      </c>
      <c r="E13" s="49">
        <v>-0.07742218</v>
      </c>
      <c r="F13" s="49">
        <v>0.03225852</v>
      </c>
      <c r="G13" s="49">
        <v>-0.05740508</v>
      </c>
    </row>
    <row r="14" spans="1:7" ht="12.75">
      <c r="A14" t="s">
        <v>22</v>
      </c>
      <c r="B14" s="49">
        <v>-0.01917474</v>
      </c>
      <c r="C14" s="49">
        <v>0.02763768</v>
      </c>
      <c r="D14" s="49">
        <v>-0.00240042</v>
      </c>
      <c r="E14" s="49">
        <v>-0.02547442</v>
      </c>
      <c r="F14" s="49">
        <v>-0.01282538</v>
      </c>
      <c r="G14" s="49">
        <v>-0.004540094</v>
      </c>
    </row>
    <row r="15" spans="1:7" ht="12.75">
      <c r="A15" t="s">
        <v>23</v>
      </c>
      <c r="B15" s="49">
        <v>-0.2859736</v>
      </c>
      <c r="C15" s="49">
        <v>0.02975358</v>
      </c>
      <c r="D15" s="49">
        <v>0.03270744</v>
      </c>
      <c r="E15" s="49">
        <v>-0.01201514</v>
      </c>
      <c r="F15" s="49">
        <v>-0.2726276</v>
      </c>
      <c r="G15" s="49">
        <v>-0.06562078</v>
      </c>
    </row>
    <row r="16" spans="1:7" ht="12.75">
      <c r="A16" t="s">
        <v>24</v>
      </c>
      <c r="B16" s="49">
        <v>-0.008716222</v>
      </c>
      <c r="C16" s="49">
        <v>0.006623109</v>
      </c>
      <c r="D16" s="49">
        <v>0.02580924</v>
      </c>
      <c r="E16" s="49">
        <v>0.0179911</v>
      </c>
      <c r="F16" s="49">
        <v>0.004429708</v>
      </c>
      <c r="G16" s="49">
        <v>0.011459</v>
      </c>
    </row>
    <row r="17" spans="1:7" ht="12.75">
      <c r="A17" t="s">
        <v>25</v>
      </c>
      <c r="B17" s="49">
        <v>-0.007927701</v>
      </c>
      <c r="C17" s="49">
        <v>-0.008848121</v>
      </c>
      <c r="D17" s="49">
        <v>-0.00233556</v>
      </c>
      <c r="E17" s="49">
        <v>-0.003579308</v>
      </c>
      <c r="F17" s="49">
        <v>-0.01654663</v>
      </c>
      <c r="G17" s="49">
        <v>-0.006906137</v>
      </c>
    </row>
    <row r="18" spans="1:7" ht="12.75">
      <c r="A18" t="s">
        <v>26</v>
      </c>
      <c r="B18" s="49">
        <v>0.00767006</v>
      </c>
      <c r="C18" s="49">
        <v>0.03379689</v>
      </c>
      <c r="D18" s="49">
        <v>0.01927357</v>
      </c>
      <c r="E18" s="49">
        <v>0.01579855</v>
      </c>
      <c r="F18" s="49">
        <v>-0.0166281</v>
      </c>
      <c r="G18" s="49">
        <v>0.01546888</v>
      </c>
    </row>
    <row r="19" spans="1:7" ht="12.75">
      <c r="A19" t="s">
        <v>27</v>
      </c>
      <c r="B19" s="49">
        <v>-0.1940111</v>
      </c>
      <c r="C19" s="49">
        <v>-0.1795063</v>
      </c>
      <c r="D19" s="49">
        <v>-0.1791642</v>
      </c>
      <c r="E19" s="49">
        <v>-0.1831759</v>
      </c>
      <c r="F19" s="49">
        <v>-0.1428939</v>
      </c>
      <c r="G19" s="49">
        <v>-0.1775292</v>
      </c>
    </row>
    <row r="20" spans="1:7" ht="12.75">
      <c r="A20" t="s">
        <v>28</v>
      </c>
      <c r="B20" s="49">
        <v>-0.004219785</v>
      </c>
      <c r="C20" s="49">
        <v>-0.00403667</v>
      </c>
      <c r="D20" s="49">
        <v>-0.00455064</v>
      </c>
      <c r="E20" s="49">
        <v>-0.001724026</v>
      </c>
      <c r="F20" s="49">
        <v>0.000627994</v>
      </c>
      <c r="G20" s="49">
        <v>-0.003008931</v>
      </c>
    </row>
    <row r="21" spans="1:7" ht="12.75">
      <c r="A21" t="s">
        <v>29</v>
      </c>
      <c r="B21" s="49">
        <v>-24.60418</v>
      </c>
      <c r="C21" s="49">
        <v>-24.0583</v>
      </c>
      <c r="D21" s="49">
        <v>86.53385</v>
      </c>
      <c r="E21" s="49">
        <v>33.83029</v>
      </c>
      <c r="F21" s="49">
        <v>-147.1196</v>
      </c>
      <c r="G21" s="49">
        <v>-0.002492385</v>
      </c>
    </row>
    <row r="22" spans="1:7" ht="12.75">
      <c r="A22" t="s">
        <v>30</v>
      </c>
      <c r="B22" s="49">
        <v>-44.49966</v>
      </c>
      <c r="C22" s="49">
        <v>-19.24247</v>
      </c>
      <c r="D22" s="49">
        <v>-2.087564</v>
      </c>
      <c r="E22" s="49">
        <v>31.45039</v>
      </c>
      <c r="F22" s="49">
        <v>30.35389</v>
      </c>
      <c r="G22" s="49">
        <v>0</v>
      </c>
    </row>
    <row r="23" spans="1:7" ht="12.75">
      <c r="A23" t="s">
        <v>31</v>
      </c>
      <c r="B23" s="49">
        <v>-1.339954</v>
      </c>
      <c r="C23" s="49">
        <v>2.509502</v>
      </c>
      <c r="D23" s="49">
        <v>2.110064</v>
      </c>
      <c r="E23" s="49">
        <v>1.699153</v>
      </c>
      <c r="F23" s="49">
        <v>4.591029</v>
      </c>
      <c r="G23" s="49">
        <v>1.93811</v>
      </c>
    </row>
    <row r="24" spans="1:7" ht="12.75">
      <c r="A24" t="s">
        <v>32</v>
      </c>
      <c r="B24" s="49">
        <v>-2.930034</v>
      </c>
      <c r="C24" s="49">
        <v>1.146426</v>
      </c>
      <c r="D24" s="49">
        <v>-1.28104</v>
      </c>
      <c r="E24" s="49">
        <v>1.678325</v>
      </c>
      <c r="F24" s="49">
        <v>2.543315</v>
      </c>
      <c r="G24" s="49">
        <v>0.2858858</v>
      </c>
    </row>
    <row r="25" spans="1:7" ht="12.75">
      <c r="A25" t="s">
        <v>33</v>
      </c>
      <c r="B25" s="49">
        <v>0.3204421</v>
      </c>
      <c r="C25" s="49">
        <v>0.7971119</v>
      </c>
      <c r="D25" s="49">
        <v>1.030933</v>
      </c>
      <c r="E25" s="49">
        <v>0.6868064</v>
      </c>
      <c r="F25" s="49">
        <v>-1.99417</v>
      </c>
      <c r="G25" s="49">
        <v>0.3858125</v>
      </c>
    </row>
    <row r="26" spans="1:7" ht="12.75">
      <c r="A26" t="s">
        <v>34</v>
      </c>
      <c r="B26" s="49">
        <v>-0.05096107</v>
      </c>
      <c r="C26" s="49">
        <v>0.6289989</v>
      </c>
      <c r="D26" s="49">
        <v>0.06662862</v>
      </c>
      <c r="E26" s="49">
        <v>0.4410782</v>
      </c>
      <c r="F26" s="49">
        <v>1.695406</v>
      </c>
      <c r="G26" s="49">
        <v>0.4920292</v>
      </c>
    </row>
    <row r="27" spans="1:7" ht="12.75">
      <c r="A27" t="s">
        <v>35</v>
      </c>
      <c r="B27" s="49">
        <v>-0.1484676</v>
      </c>
      <c r="C27" s="49">
        <v>-0.01852914</v>
      </c>
      <c r="D27" s="49">
        <v>-0.2061257</v>
      </c>
      <c r="E27" s="49">
        <v>-0.1052636</v>
      </c>
      <c r="F27" s="49">
        <v>0.3476951</v>
      </c>
      <c r="G27" s="49">
        <v>-0.05455409</v>
      </c>
    </row>
    <row r="28" spans="1:7" ht="12.75">
      <c r="A28" t="s">
        <v>36</v>
      </c>
      <c r="B28" s="49">
        <v>-0.3089561</v>
      </c>
      <c r="C28" s="49">
        <v>0.1001509</v>
      </c>
      <c r="D28" s="49">
        <v>-0.1712001</v>
      </c>
      <c r="E28" s="49">
        <v>0.1731872</v>
      </c>
      <c r="F28" s="49">
        <v>0.3892083</v>
      </c>
      <c r="G28" s="49">
        <v>0.03168239</v>
      </c>
    </row>
    <row r="29" spans="1:7" ht="12.75">
      <c r="A29" t="s">
        <v>37</v>
      </c>
      <c r="B29" s="49">
        <v>0.09813032</v>
      </c>
      <c r="C29" s="49">
        <v>0.05039451</v>
      </c>
      <c r="D29" s="49">
        <v>0.02995007</v>
      </c>
      <c r="E29" s="49">
        <v>0.01833844</v>
      </c>
      <c r="F29" s="49">
        <v>-0.001750114</v>
      </c>
      <c r="G29" s="49">
        <v>0.03773175</v>
      </c>
    </row>
    <row r="30" spans="1:7" ht="12.75">
      <c r="A30" t="s">
        <v>38</v>
      </c>
      <c r="B30" s="49">
        <v>0.05219685</v>
      </c>
      <c r="C30" s="49">
        <v>0.08960214</v>
      </c>
      <c r="D30" s="49">
        <v>0.07937804</v>
      </c>
      <c r="E30" s="49">
        <v>0.03257629</v>
      </c>
      <c r="F30" s="49">
        <v>0.2652514</v>
      </c>
      <c r="G30" s="49">
        <v>0.09141171</v>
      </c>
    </row>
    <row r="31" spans="1:7" ht="12.75">
      <c r="A31" t="s">
        <v>39</v>
      </c>
      <c r="B31" s="49">
        <v>0.006253955</v>
      </c>
      <c r="C31" s="49">
        <v>0.003304807</v>
      </c>
      <c r="D31" s="49">
        <v>-0.03220454</v>
      </c>
      <c r="E31" s="49">
        <v>-0.02177521</v>
      </c>
      <c r="F31" s="49">
        <v>0.002846902</v>
      </c>
      <c r="G31" s="49">
        <v>-0.01090578</v>
      </c>
    </row>
    <row r="32" spans="1:7" ht="12.75">
      <c r="A32" t="s">
        <v>40</v>
      </c>
      <c r="B32" s="49">
        <v>-0.02078044</v>
      </c>
      <c r="C32" s="49">
        <v>0.01289251</v>
      </c>
      <c r="D32" s="49">
        <v>-0.01364902</v>
      </c>
      <c r="E32" s="49">
        <v>0.0201513</v>
      </c>
      <c r="F32" s="49">
        <v>0.04563683</v>
      </c>
      <c r="G32" s="49">
        <v>0.007737888</v>
      </c>
    </row>
    <row r="33" spans="1:7" ht="12.75">
      <c r="A33" t="s">
        <v>41</v>
      </c>
      <c r="B33" s="49">
        <v>0.06849014</v>
      </c>
      <c r="C33" s="49">
        <v>0.04177298</v>
      </c>
      <c r="D33" s="49">
        <v>0.02219243</v>
      </c>
      <c r="E33" s="49">
        <v>0.04255511</v>
      </c>
      <c r="F33" s="49">
        <v>0.05111444</v>
      </c>
      <c r="G33" s="49">
        <v>0.04236563</v>
      </c>
    </row>
    <row r="34" spans="1:7" ht="12.75">
      <c r="A34" t="s">
        <v>42</v>
      </c>
      <c r="B34" s="49">
        <v>0.01981338</v>
      </c>
      <c r="C34" s="49">
        <v>0.02509588</v>
      </c>
      <c r="D34" s="49">
        <v>0.0237302</v>
      </c>
      <c r="E34" s="49">
        <v>0.01196382</v>
      </c>
      <c r="F34" s="49">
        <v>-0.01839191</v>
      </c>
      <c r="G34" s="49">
        <v>0.01505146</v>
      </c>
    </row>
    <row r="35" spans="1:7" ht="12.75">
      <c r="A35" t="s">
        <v>43</v>
      </c>
      <c r="B35" s="49">
        <v>2.175932E-06</v>
      </c>
      <c r="C35" s="49">
        <v>-0.000497046</v>
      </c>
      <c r="D35" s="49">
        <v>0.000522537</v>
      </c>
      <c r="E35" s="49">
        <v>-0.0003471684</v>
      </c>
      <c r="F35" s="49">
        <v>-0.004726391</v>
      </c>
      <c r="G35" s="49">
        <v>-0.0007068787</v>
      </c>
    </row>
    <row r="36" spans="1:6" ht="12.75">
      <c r="A36" t="s">
        <v>44</v>
      </c>
      <c r="B36" s="49">
        <v>19.46716</v>
      </c>
      <c r="C36" s="49">
        <v>19.47327</v>
      </c>
      <c r="D36" s="49">
        <v>19.49463</v>
      </c>
      <c r="E36" s="49">
        <v>19.50378</v>
      </c>
      <c r="F36" s="49">
        <v>19.5282</v>
      </c>
    </row>
    <row r="37" spans="1:6" ht="12.75">
      <c r="A37" t="s">
        <v>45</v>
      </c>
      <c r="B37" s="49">
        <v>0.3351847</v>
      </c>
      <c r="C37" s="49">
        <v>0.3255208</v>
      </c>
      <c r="D37" s="49">
        <v>0.3128052</v>
      </c>
      <c r="E37" s="49">
        <v>0.3077189</v>
      </c>
      <c r="F37" s="49">
        <v>0.3000895</v>
      </c>
    </row>
    <row r="38" spans="1:7" ht="12.75">
      <c r="A38" t="s">
        <v>55</v>
      </c>
      <c r="B38" s="49">
        <v>-0.0001060899</v>
      </c>
      <c r="C38" s="49">
        <v>0.0001308276</v>
      </c>
      <c r="D38" s="49">
        <v>1.040334E-05</v>
      </c>
      <c r="E38" s="49">
        <v>0</v>
      </c>
      <c r="F38" s="49">
        <v>-0.0001304011</v>
      </c>
      <c r="G38" s="49">
        <v>0.0001844443</v>
      </c>
    </row>
    <row r="39" spans="1:7" ht="12.75">
      <c r="A39" t="s">
        <v>56</v>
      </c>
      <c r="B39" s="49">
        <v>4.1355E-05</v>
      </c>
      <c r="C39" s="49">
        <v>4.115085E-05</v>
      </c>
      <c r="D39" s="49">
        <v>-0.0001471054</v>
      </c>
      <c r="E39" s="49">
        <v>-5.749549E-05</v>
      </c>
      <c r="F39" s="49">
        <v>0.0002504992</v>
      </c>
      <c r="G39" s="49">
        <v>0.0005640386</v>
      </c>
    </row>
    <row r="40" spans="2:5" ht="12.75">
      <c r="B40" t="s">
        <v>46</v>
      </c>
      <c r="C40">
        <v>-0.003748</v>
      </c>
      <c r="D40" t="s">
        <v>47</v>
      </c>
      <c r="E40">
        <v>3.116539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 s="1">
        <v>12.516</v>
      </c>
      <c r="C44" s="1">
        <v>12.515</v>
      </c>
      <c r="D44" s="1">
        <v>12.515</v>
      </c>
      <c r="E44" s="1">
        <v>12.515</v>
      </c>
      <c r="F44" s="1">
        <v>12.515</v>
      </c>
      <c r="G44" s="1">
        <v>12.515</v>
      </c>
      <c r="J44">
        <v>12.516</v>
      </c>
    </row>
    <row r="50" spans="1:7" ht="12.75">
      <c r="A50" t="s">
        <v>58</v>
      </c>
      <c r="B50">
        <f>-0.017/(B7*B7+B22*B22)*(B21*B22+B6*B7)</f>
        <v>-0.00010608989738648807</v>
      </c>
      <c r="C50">
        <f>-0.017/(C7*C7+C22*C22)*(C21*C22+C6*C7)</f>
        <v>0.0001308276325913355</v>
      </c>
      <c r="D50">
        <f>-0.017/(D7*D7+D22*D22)*(D21*D22+D6*D7)</f>
        <v>1.040334248813734E-05</v>
      </c>
      <c r="E50">
        <f>-0.017/(E7*E7+E22*E22)*(E21*E22+E6*E7)</f>
        <v>-5.087382567757072E-06</v>
      </c>
      <c r="F50">
        <f>-0.017/(F7*F7+F22*F22)*(F21*F22+F6*F7)</f>
        <v>-0.00013040111467167427</v>
      </c>
      <c r="G50">
        <f>(B50*B$4+C50*C$4+D50*D$4+E50*E$4+F50*F$4)/SUM(B$4:F$4)</f>
        <v>2.376452528364391E-08</v>
      </c>
    </row>
    <row r="51" spans="1:7" ht="12.75">
      <c r="A51" t="s">
        <v>59</v>
      </c>
      <c r="B51">
        <f>-0.017/(B7*B7+B22*B22)*(B21*B7-B6*B22)</f>
        <v>4.135500956368664E-05</v>
      </c>
      <c r="C51">
        <f>-0.017/(C7*C7+C22*C22)*(C21*C7-C6*C22)</f>
        <v>4.1150854679530976E-05</v>
      </c>
      <c r="D51">
        <f>-0.017/(D7*D7+D22*D22)*(D21*D7-D6*D22)</f>
        <v>-0.00014710537323567421</v>
      </c>
      <c r="E51">
        <f>-0.017/(E7*E7+E22*E22)*(E21*E7-E6*E22)</f>
        <v>-5.7495492983416484E-05</v>
      </c>
      <c r="F51">
        <f>-0.017/(F7*F7+F22*F22)*(F21*F7-F6*F22)</f>
        <v>0.00025049913810906217</v>
      </c>
      <c r="G51">
        <f>(B51*B$4+C51*C$4+D51*D$4+E51*E$4+F51*F$4)/SUM(B$4:F$4)</f>
        <v>5.43119429195058E-08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61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62</v>
      </c>
      <c r="B62">
        <f>B7+(2/0.017)*(B8*B50-B23*B51)</f>
        <v>10000.010772369627</v>
      </c>
      <c r="C62">
        <f>C7+(2/0.017)*(C8*C50-C23*C51)</f>
        <v>9999.98951554878</v>
      </c>
      <c r="D62">
        <f>D7+(2/0.017)*(D8*D50-D23*D51)</f>
        <v>10000.03641998812</v>
      </c>
      <c r="E62">
        <f>E7+(2/0.017)*(E8*E50-E23*E51)</f>
        <v>10000.012161647914</v>
      </c>
      <c r="F62">
        <f>F7+(2/0.017)*(F8*F50-F23*F51)</f>
        <v>9999.884769761635</v>
      </c>
    </row>
    <row r="63" spans="1:6" ht="12.75">
      <c r="A63" t="s">
        <v>63</v>
      </c>
      <c r="B63">
        <f>B8+(3/0.017)*(B9*B50-B24*B51)</f>
        <v>-0.32037332245937034</v>
      </c>
      <c r="C63">
        <f>C8+(3/0.017)*(C9*C50-C24*C51)</f>
        <v>0.09327043320239305</v>
      </c>
      <c r="D63">
        <f>D8+(3/0.017)*(D9*D50-D24*D51)</f>
        <v>-0.1142021392206149</v>
      </c>
      <c r="E63">
        <f>E8+(3/0.017)*(E9*E50-E24*E51)</f>
        <v>-1.0996157486584173</v>
      </c>
      <c r="F63">
        <f>F8+(3/0.017)*(F9*F50-F24*F51)</f>
        <v>-1.3865272258350843</v>
      </c>
    </row>
    <row r="64" spans="1:6" ht="12.75">
      <c r="A64" t="s">
        <v>64</v>
      </c>
      <c r="B64">
        <f>B9+(4/0.017)*(B10*B50-B25*B51)</f>
        <v>0.04657573214267237</v>
      </c>
      <c r="C64">
        <f>C9+(4/0.017)*(C10*C50-C25*C51)</f>
        <v>-0.2954046188467328</v>
      </c>
      <c r="D64">
        <f>D9+(4/0.017)*(D10*D50-D25*D51)</f>
        <v>-0.501709584037313</v>
      </c>
      <c r="E64">
        <f>E9+(4/0.017)*(E10*E50-E25*E51)</f>
        <v>0.1030238211144631</v>
      </c>
      <c r="F64">
        <f>F9+(4/0.017)*(F10*F50-F25*F51)</f>
        <v>-1.366359955054083</v>
      </c>
    </row>
    <row r="65" spans="1:6" ht="12.75">
      <c r="A65" t="s">
        <v>65</v>
      </c>
      <c r="B65">
        <f>B10+(5/0.017)*(B11*B50-B26*B51)</f>
        <v>0.011740067786573327</v>
      </c>
      <c r="C65">
        <f>C10+(5/0.017)*(C11*C50-C26*C51)</f>
        <v>0.05644065899741542</v>
      </c>
      <c r="D65">
        <f>D10+(5/0.017)*(D11*D50-D26*D51)</f>
        <v>-0.01708072929902856</v>
      </c>
      <c r="E65">
        <f>E10+(5/0.017)*(E11*E50-E26*E51)</f>
        <v>0.30417444676836575</v>
      </c>
      <c r="F65">
        <f>F10+(5/0.017)*(F11*F50-F26*F51)</f>
        <v>-0.6418958265287258</v>
      </c>
    </row>
    <row r="66" spans="1:6" ht="12.75">
      <c r="A66" t="s">
        <v>66</v>
      </c>
      <c r="B66">
        <f>B11+(6/0.017)*(B12*B50-B27*B51)</f>
        <v>4.093238888711378</v>
      </c>
      <c r="C66">
        <f>C11+(6/0.017)*(C12*C50-C27*C51)</f>
        <v>4.511876477616897</v>
      </c>
      <c r="D66">
        <f>D11+(6/0.017)*(D12*D50-D27*D51)</f>
        <v>4.266666826557575</v>
      </c>
      <c r="E66">
        <f>E11+(6/0.017)*(E12*E50-E27*E51)</f>
        <v>4.296552329578944</v>
      </c>
      <c r="F66">
        <f>F11+(6/0.017)*(F12*F50-F27*F51)</f>
        <v>14.839241331049916</v>
      </c>
    </row>
    <row r="67" spans="1:6" ht="12.75">
      <c r="A67" t="s">
        <v>67</v>
      </c>
      <c r="B67">
        <f>B12+(7/0.017)*(B13*B50-B28*B51)</f>
        <v>0.06221235259176584</v>
      </c>
      <c r="C67">
        <f>C12+(7/0.017)*(C13*C50-C28*C51)</f>
        <v>0.22077277088488764</v>
      </c>
      <c r="D67">
        <f>D12+(7/0.017)*(D13*D50-D28*D51)</f>
        <v>0.24030078872252847</v>
      </c>
      <c r="E67">
        <f>E12+(7/0.017)*(E13*E50-E28*E51)</f>
        <v>-0.03327165542122641</v>
      </c>
      <c r="F67">
        <f>F12+(7/0.017)*(F13*F50-F28*F51)</f>
        <v>-0.1333857808602272</v>
      </c>
    </row>
    <row r="68" spans="1:6" ht="12.75">
      <c r="A68" t="s">
        <v>68</v>
      </c>
      <c r="B68">
        <f>B13+(8/0.017)*(B14*B50-B29*B51)</f>
        <v>0.11256116041267057</v>
      </c>
      <c r="C68">
        <f>C13+(8/0.017)*(C14*C50-C29*C51)</f>
        <v>-0.0957363152531479</v>
      </c>
      <c r="D68">
        <f>D13+(8/0.017)*(D14*D50-D29*D51)</f>
        <v>-0.14884472643086624</v>
      </c>
      <c r="E68">
        <f>E13+(8/0.017)*(E14*E50-E29*E51)</f>
        <v>-0.07686501493243363</v>
      </c>
      <c r="F68">
        <f>F13+(8/0.017)*(F14*F50-F29*F51)</f>
        <v>0.03325185924549666</v>
      </c>
    </row>
    <row r="69" spans="1:6" ht="12.75">
      <c r="A69" t="s">
        <v>69</v>
      </c>
      <c r="B69">
        <f>B14+(9/0.017)*(B15*B50-B30*B51)</f>
        <v>-0.004255753068546919</v>
      </c>
      <c r="C69">
        <f>C14+(9/0.017)*(C15*C50-C30*C51)</f>
        <v>0.027746413653742193</v>
      </c>
      <c r="D69">
        <f>D14+(9/0.017)*(D15*D50-D30*D51)</f>
        <v>0.003961628594724606</v>
      </c>
      <c r="E69">
        <f>E14+(9/0.017)*(E15*E50-E30*E51)</f>
        <v>-0.024450476517520407</v>
      </c>
      <c r="F69">
        <f>F14+(9/0.017)*(F15*F50-F30*F51)</f>
        <v>-0.02918118808044875</v>
      </c>
    </row>
    <row r="70" spans="1:6" ht="12.75">
      <c r="A70" t="s">
        <v>70</v>
      </c>
      <c r="B70">
        <f>B15+(10/0.017)*(B16*B50-B31*B51)</f>
        <v>-0.2855817936889753</v>
      </c>
      <c r="C70">
        <f>C15+(10/0.017)*(C16*C50-C31*C51)</f>
        <v>0.030183280022507926</v>
      </c>
      <c r="D70">
        <f>D15+(10/0.017)*(D16*D50-D31*D51)</f>
        <v>0.030078640874409018</v>
      </c>
      <c r="E70">
        <f>E15+(10/0.017)*(E16*E50-E31*E51)</f>
        <v>-0.012805436495460116</v>
      </c>
      <c r="F70">
        <f>F15+(10/0.017)*(F16*F50-F31*F51)</f>
        <v>-0.27338688550479473</v>
      </c>
    </row>
    <row r="71" spans="1:6" ht="12.75">
      <c r="A71" t="s">
        <v>71</v>
      </c>
      <c r="B71">
        <f>B16+(11/0.017)*(B17*B50-B32*B51)</f>
        <v>-0.007615947465533991</v>
      </c>
      <c r="C71">
        <f>C16+(11/0.017)*(C17*C50-C32*C51)</f>
        <v>0.005530798304909596</v>
      </c>
      <c r="D71">
        <f>D16+(11/0.017)*(D17*D50-D32*D51)</f>
        <v>0.0244943247098935</v>
      </c>
      <c r="E71">
        <f>E16+(11/0.017)*(E17*E50-E32*E51)</f>
        <v>0.018752570623863887</v>
      </c>
      <c r="F71">
        <f>F16+(11/0.017)*(F17*F50-F32*F51)</f>
        <v>-0.001571301613804134</v>
      </c>
    </row>
    <row r="72" spans="1:6" ht="12.75">
      <c r="A72" t="s">
        <v>72</v>
      </c>
      <c r="B72">
        <f>B17+(12/0.017)*(B18*B50-B33*B51)</f>
        <v>-0.010501437192752785</v>
      </c>
      <c r="C72">
        <f>C17+(12/0.017)*(C18*C50-C33*C51)</f>
        <v>-0.006940422215431417</v>
      </c>
      <c r="D72">
        <f>D17+(12/0.017)*(D18*D50-D33*D51)</f>
        <v>0.00011041782200164408</v>
      </c>
      <c r="E72">
        <f>E17+(12/0.017)*(E18*E50-E33*E51)</f>
        <v>-0.0019089406396134033</v>
      </c>
      <c r="F72">
        <f>F17+(12/0.017)*(F18*F50-F33*F51)</f>
        <v>-0.02405425380474492</v>
      </c>
    </row>
    <row r="73" spans="1:6" ht="12.75">
      <c r="A73" t="s">
        <v>73</v>
      </c>
      <c r="B73">
        <f>B18+(13/0.017)*(B19*B50-B34*B51)</f>
        <v>0.0227831221899329</v>
      </c>
      <c r="C73">
        <f>C18+(13/0.017)*(C19*C50-C34*C51)</f>
        <v>0.015048518513109128</v>
      </c>
      <c r="D73">
        <f>D18+(13/0.017)*(D19*D50-D34*D51)</f>
        <v>0.020517695536392516</v>
      </c>
      <c r="E73">
        <f>E18+(13/0.017)*(E19*E50-E34*E51)</f>
        <v>0.017037183583626762</v>
      </c>
      <c r="F73">
        <f>F18+(13/0.017)*(F19*F50-F34*F51)</f>
        <v>0.0011441858093240304</v>
      </c>
    </row>
    <row r="74" spans="1:6" ht="12.75">
      <c r="A74" t="s">
        <v>74</v>
      </c>
      <c r="B74">
        <f>B19+(14/0.017)*(B20*B50-B35*B51)</f>
        <v>-0.19364249929368463</v>
      </c>
      <c r="C74">
        <f>C19+(14/0.017)*(C20*C50-C35*C51)</f>
        <v>-0.17992436809218376</v>
      </c>
      <c r="D74">
        <f>D19+(14/0.017)*(D20*D50-D35*D51)</f>
        <v>-0.17913988436027298</v>
      </c>
      <c r="E74">
        <f>E19+(14/0.017)*(E20*E50-E35*E51)</f>
        <v>-0.18318511516110736</v>
      </c>
      <c r="F74">
        <f>F19+(14/0.017)*(F20*F50-F35*F51)</f>
        <v>-0.1419863164376688</v>
      </c>
    </row>
    <row r="75" spans="1:6" ht="12.75">
      <c r="A75" t="s">
        <v>75</v>
      </c>
      <c r="B75" s="49">
        <f>B20</f>
        <v>-0.004219785</v>
      </c>
      <c r="C75" s="49">
        <f>C20</f>
        <v>-0.00403667</v>
      </c>
      <c r="D75" s="49">
        <f>D20</f>
        <v>-0.00455064</v>
      </c>
      <c r="E75" s="49">
        <f>E20</f>
        <v>-0.001724026</v>
      </c>
      <c r="F75" s="49">
        <f>F20</f>
        <v>0.000627994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76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77</v>
      </c>
      <c r="B82">
        <f>B22+(2/0.017)*(B8*B51+B23*B50)</f>
        <v>-44.48459371817151</v>
      </c>
      <c r="C82">
        <f>C22+(2/0.017)*(C8*C51+C23*C50)</f>
        <v>-19.203321402107605</v>
      </c>
      <c r="D82">
        <f>D22+(2/0.017)*(D8*D51+D23*D50)</f>
        <v>-2.0835976126990783</v>
      </c>
      <c r="E82">
        <f>E22+(2/0.017)*(E8*E51+E23*E50)</f>
        <v>31.45692563838746</v>
      </c>
      <c r="F82">
        <f>F22+(2/0.017)*(F8*F51+F23*F50)</f>
        <v>30.244904085228544</v>
      </c>
    </row>
    <row r="83" spans="1:6" ht="12.75">
      <c r="A83" t="s">
        <v>78</v>
      </c>
      <c r="B83">
        <f>B23+(3/0.017)*(B9*B51+B24*B50)</f>
        <v>-1.2847106891844076</v>
      </c>
      <c r="C83">
        <f>C23+(3/0.017)*(C9*C51+C24*C50)</f>
        <v>2.5339050427105043</v>
      </c>
      <c r="D83">
        <f>D23+(3/0.017)*(D9*D51+D24*D50)</f>
        <v>2.121660666462086</v>
      </c>
      <c r="E83">
        <f>E23+(3/0.017)*(E9*E51+E24*E50)</f>
        <v>1.6966915283572752</v>
      </c>
      <c r="F83">
        <f>F23+(3/0.017)*(F9*F51+F24*F50)</f>
        <v>4.466977638192583</v>
      </c>
    </row>
    <row r="84" spans="1:6" ht="12.75">
      <c r="A84" t="s">
        <v>79</v>
      </c>
      <c r="B84">
        <f>B24+(4/0.017)*(B10*B51+B25*B50)</f>
        <v>-2.936681928467043</v>
      </c>
      <c r="C84">
        <f>C24+(4/0.017)*(C10*C51+C25*C50)</f>
        <v>1.169906692537709</v>
      </c>
      <c r="D84">
        <f>D24+(4/0.017)*(D10*D51+D25*D50)</f>
        <v>-1.277372523360179</v>
      </c>
      <c r="E84">
        <f>E24+(4/0.017)*(E10*E51+E25*E50)</f>
        <v>1.6734017840904651</v>
      </c>
      <c r="F84">
        <f>F24+(4/0.017)*(F10*F51+F25*F50)</f>
        <v>2.607635015434445</v>
      </c>
    </row>
    <row r="85" spans="1:6" ht="12.75">
      <c r="A85" t="s">
        <v>80</v>
      </c>
      <c r="B85">
        <f>B25+(5/0.017)*(B11*B51+B26*B50)</f>
        <v>0.3718211109661485</v>
      </c>
      <c r="C85">
        <f>C25+(5/0.017)*(C11*C51+C26*C50)</f>
        <v>0.8757925891862699</v>
      </c>
      <c r="D85">
        <f>D25+(5/0.017)*(D11*D51+D26*D50)</f>
        <v>0.8461109339415195</v>
      </c>
      <c r="E85">
        <f>E25+(5/0.017)*(E11*E51+E26*E50)</f>
        <v>0.6134548508560105</v>
      </c>
      <c r="F85">
        <f>F25+(5/0.017)*(F11*F51+F26*F50)</f>
        <v>-0.9639406646745563</v>
      </c>
    </row>
    <row r="86" spans="1:6" ht="12.75">
      <c r="A86" t="s">
        <v>81</v>
      </c>
      <c r="B86">
        <f>B26+(6/0.017)*(B12*B51+B27*B50)</f>
        <v>-0.044498292852327224</v>
      </c>
      <c r="C86">
        <f>C26+(6/0.017)*(C12*C51+C27*C50)</f>
        <v>0.6314499124205251</v>
      </c>
      <c r="D86">
        <f>D26+(6/0.017)*(D12*D51+D27*D50)</f>
        <v>0.0528234947753686</v>
      </c>
      <c r="E86">
        <f>E26+(6/0.017)*(E12*E51+E27*E50)</f>
        <v>0.44202886501907845</v>
      </c>
      <c r="F86">
        <f>F26+(6/0.017)*(F12*F51+F27*F50)</f>
        <v>1.671313341013226</v>
      </c>
    </row>
    <row r="87" spans="1:6" ht="12.75">
      <c r="A87" t="s">
        <v>82</v>
      </c>
      <c r="B87">
        <f>B27+(7/0.017)*(B13*B51+B28*B50)</f>
        <v>-0.13303816831077847</v>
      </c>
      <c r="C87">
        <f>C27+(7/0.017)*(C13*C51+C28*C50)</f>
        <v>-0.014768487567305767</v>
      </c>
      <c r="D87">
        <f>D27+(7/0.017)*(D13*D51+D28*D50)</f>
        <v>-0.19771825763672476</v>
      </c>
      <c r="E87">
        <f>E27+(7/0.017)*(E13*E51+E28*E50)</f>
        <v>-0.10379345305570677</v>
      </c>
      <c r="F87">
        <f>F27+(7/0.017)*(F13*F51+F28*F50)</f>
        <v>0.3301240851223791</v>
      </c>
    </row>
    <row r="88" spans="1:6" ht="12.75">
      <c r="A88" t="s">
        <v>83</v>
      </c>
      <c r="B88">
        <f>B28+(8/0.017)*(B14*B51+B29*B50)</f>
        <v>-0.31422838571076916</v>
      </c>
      <c r="C88">
        <f>C28+(8/0.017)*(C14*C51+C29*C50)</f>
        <v>0.10378869227871047</v>
      </c>
      <c r="D88">
        <f>D28+(8/0.017)*(D14*D51+D29*D50)</f>
        <v>-0.17088730211022302</v>
      </c>
      <c r="E88">
        <f>E28+(8/0.017)*(E14*E51+E29*E50)</f>
        <v>0.1738325504359486</v>
      </c>
      <c r="F88">
        <f>F28+(8/0.017)*(F14*F51+F29*F50)</f>
        <v>0.38780381537905</v>
      </c>
    </row>
    <row r="89" spans="1:6" ht="12.75">
      <c r="A89" t="s">
        <v>84</v>
      </c>
      <c r="B89">
        <f>B29+(9/0.017)*(B15*B51+B30*B50)</f>
        <v>0.08893761442292715</v>
      </c>
      <c r="C89">
        <f>C29+(9/0.017)*(C15*C51+C30*C50)</f>
        <v>0.05724870940487287</v>
      </c>
      <c r="D89">
        <f>D29+(9/0.017)*(D15*D51+D30*D50)</f>
        <v>0.027840023582727223</v>
      </c>
      <c r="E89">
        <f>E29+(9/0.017)*(E15*E51+E30*E50)</f>
        <v>0.018616427948780538</v>
      </c>
      <c r="F89">
        <f>F29+(9/0.017)*(F15*F51+F30*F50)</f>
        <v>-0.0562170853809811</v>
      </c>
    </row>
    <row r="90" spans="1:6" ht="12.75">
      <c r="A90" t="s">
        <v>85</v>
      </c>
      <c r="B90">
        <f>B30+(10/0.017)*(B16*B51+B31*B50)</f>
        <v>0.05159453183036534</v>
      </c>
      <c r="C90">
        <f>C30+(10/0.017)*(C16*C51+C31*C50)</f>
        <v>0.09001679098350998</v>
      </c>
      <c r="D90">
        <f>D30+(10/0.017)*(D16*D51+D31*D50)</f>
        <v>0.07694762073975175</v>
      </c>
      <c r="E90">
        <f>E30+(10/0.017)*(E16*E51+E31*E50)</f>
        <v>0.03203297921173488</v>
      </c>
      <c r="F90">
        <f>F30+(10/0.017)*(F16*F51+F31*F50)</f>
        <v>0.26568575225994934</v>
      </c>
    </row>
    <row r="91" spans="1:6" ht="12.75">
      <c r="A91" t="s">
        <v>86</v>
      </c>
      <c r="B91">
        <f>B31+(11/0.017)*(B17*B51+B32*B50)</f>
        <v>0.007468319150723721</v>
      </c>
      <c r="C91">
        <f>C31+(11/0.017)*(C17*C51+C32*C50)</f>
        <v>0.004160599765883784</v>
      </c>
      <c r="D91">
        <f>D31+(11/0.017)*(D17*D51+D32*D50)</f>
        <v>-0.03207410717917084</v>
      </c>
      <c r="E91">
        <f>E31+(11/0.017)*(E17*E51+E32*E50)</f>
        <v>-0.021708383896336454</v>
      </c>
      <c r="F91">
        <f>F31+(11/0.017)*(F17*F51+F32*F50)</f>
        <v>-0.003685810388976695</v>
      </c>
    </row>
    <row r="92" spans="1:6" ht="12.75">
      <c r="A92" t="s">
        <v>87</v>
      </c>
      <c r="B92">
        <f>B32+(12/0.017)*(B18*B51+B33*B50)</f>
        <v>-0.02568555754348152</v>
      </c>
      <c r="C92">
        <f>C32+(12/0.017)*(C18*C51+C33*C50)</f>
        <v>0.01773192010966727</v>
      </c>
      <c r="D92">
        <f>D32+(12/0.017)*(D18*D51+D33*D50)</f>
        <v>-0.015487399005999915</v>
      </c>
      <c r="E92">
        <f>E32+(12/0.017)*(E18*E51+E33*E50)</f>
        <v>0.019357295614972136</v>
      </c>
      <c r="F92">
        <f>F32+(12/0.017)*(F18*F51+F33*F50)</f>
        <v>0.03799162670338138</v>
      </c>
    </row>
    <row r="93" spans="1:6" ht="12.75">
      <c r="A93" t="s">
        <v>88</v>
      </c>
      <c r="B93">
        <f>B33+(13/0.017)*(B19*B51+B34*B50)</f>
        <v>0.060747240322851115</v>
      </c>
      <c r="C93">
        <f>C33+(13/0.017)*(C19*C51+C34*C50)</f>
        <v>0.03863493057275691</v>
      </c>
      <c r="D93">
        <f>D33+(13/0.017)*(D19*D51+D34*D50)</f>
        <v>0.042535816401292864</v>
      </c>
      <c r="E93">
        <f>E33+(13/0.017)*(E19*E51+E34*E50)</f>
        <v>0.050562287286488226</v>
      </c>
      <c r="F93">
        <f>F33+(13/0.017)*(F19*F51+F34*F50)</f>
        <v>0.02557596047415775</v>
      </c>
    </row>
    <row r="94" spans="1:6" ht="12.75">
      <c r="A94" t="s">
        <v>89</v>
      </c>
      <c r="B94">
        <f>B34+(14/0.017)*(B20*B51+B35*B50)</f>
        <v>0.01966947639364234</v>
      </c>
      <c r="C94">
        <f>C34+(14/0.017)*(C20*C51+C35*C50)</f>
        <v>0.024905529599506177</v>
      </c>
      <c r="D94">
        <f>D34+(14/0.017)*(D20*D51+D35*D50)</f>
        <v>0.02428596683402875</v>
      </c>
      <c r="E94">
        <f>E34+(14/0.017)*(E20*E51+E35*E50)</f>
        <v>0.0120469058026785</v>
      </c>
      <c r="F94">
        <f>F34+(14/0.017)*(F20*F51+F35*F50)</f>
        <v>-0.01775479585016673</v>
      </c>
    </row>
    <row r="95" spans="1:6" ht="12.75">
      <c r="A95" t="s">
        <v>90</v>
      </c>
      <c r="B95" s="49">
        <f>B35</f>
        <v>2.175932E-06</v>
      </c>
      <c r="C95" s="49">
        <f>C35</f>
        <v>-0.000497046</v>
      </c>
      <c r="D95" s="49">
        <f>D35</f>
        <v>0.000522537</v>
      </c>
      <c r="E95" s="49">
        <f>E35</f>
        <v>-0.0003471684</v>
      </c>
      <c r="F95" s="49">
        <f>F35</f>
        <v>-0.004726391</v>
      </c>
    </row>
    <row r="98" ht="12.75">
      <c r="A98" t="s">
        <v>91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92</v>
      </c>
      <c r="H100" t="s">
        <v>93</v>
      </c>
      <c r="I100" t="s">
        <v>94</v>
      </c>
      <c r="K100" t="s">
        <v>95</v>
      </c>
    </row>
    <row r="101" spans="1:9" ht="12.75">
      <c r="A101" t="s">
        <v>61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62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63</v>
      </c>
      <c r="B103">
        <f>B63*10000/B62</f>
        <v>-0.3203729773417573</v>
      </c>
      <c r="C103">
        <f>C63*10000/C62</f>
        <v>0.09327053099142629</v>
      </c>
      <c r="D103">
        <f>D63*10000/D62</f>
        <v>-0.1142017232980743</v>
      </c>
      <c r="E103">
        <f>E63*10000/E62</f>
        <v>-1.099614411346086</v>
      </c>
      <c r="F103">
        <f>F63*10000/F62</f>
        <v>-1.3865432030054627</v>
      </c>
      <c r="G103">
        <f>AVERAGE(C103:E103)</f>
        <v>-0.373515201217578</v>
      </c>
      <c r="H103">
        <f>STDEV(C103:E103)</f>
        <v>0.6373195676322234</v>
      </c>
      <c r="I103">
        <f>(B103*B4+C103*C4+D103*D4+E103*E4+F103*F4)/SUM(B4:F4)</f>
        <v>-0.5007486925173729</v>
      </c>
      <c r="K103">
        <f>(LN(H103)+LN(H123))/2-LN(K114*K115^3)</f>
        <v>-4.539182236090031</v>
      </c>
    </row>
    <row r="104" spans="1:11" ht="12.75">
      <c r="A104" t="s">
        <v>64</v>
      </c>
      <c r="B104">
        <f>B64*10000/B62</f>
        <v>0.046575681969626186</v>
      </c>
      <c r="C104">
        <f>C64*10000/C62</f>
        <v>-0.2954049285625892</v>
      </c>
      <c r="D104">
        <f>D64*10000/D62</f>
        <v>-0.5017077568182586</v>
      </c>
      <c r="E104">
        <f>E64*10000/E62</f>
        <v>0.10302369582067156</v>
      </c>
      <c r="F104">
        <f>F64*10000/F62</f>
        <v>-1.3663756998338419</v>
      </c>
      <c r="G104">
        <f>AVERAGE(C104:E104)</f>
        <v>-0.23136299652005876</v>
      </c>
      <c r="H104">
        <f>STDEV(C104:E104)</f>
        <v>0.30741024584015203</v>
      </c>
      <c r="I104">
        <f>(B104*B4+C104*C4+D104*D4+E104*E4+F104*F4)/SUM(B4:F4)</f>
        <v>-0.34235258882972436</v>
      </c>
      <c r="K104">
        <f>(LN(H104)+LN(H124))/2-LN(K114*K115^4)</f>
        <v>-3.648790927252501</v>
      </c>
    </row>
    <row r="105" spans="1:11" ht="12.75">
      <c r="A105" t="s">
        <v>65</v>
      </c>
      <c r="B105">
        <f>B65*10000/B62</f>
        <v>0.011740055139751985</v>
      </c>
      <c r="C105">
        <f>C65*10000/C62</f>
        <v>0.056440718172411065</v>
      </c>
      <c r="D105">
        <f>D65*10000/D62</f>
        <v>-0.017080667091259306</v>
      </c>
      <c r="E105">
        <f>E65*10000/E62</f>
        <v>0.30417407684256303</v>
      </c>
      <c r="F105">
        <f>F65*10000/F62</f>
        <v>-0.6419032231948674</v>
      </c>
      <c r="G105">
        <f>AVERAGE(C105:E105)</f>
        <v>0.1145113759745716</v>
      </c>
      <c r="H105">
        <f>STDEV(C105:E105)</f>
        <v>0.1683160824109751</v>
      </c>
      <c r="I105">
        <f>(B105*B4+C105*C4+D105*D4+E105*E4+F105*F4)/SUM(B4:F4)</f>
        <v>-0.0011820395409010015</v>
      </c>
      <c r="K105">
        <f>(LN(H105)+LN(H125))/2-LN(K114*K115^5)</f>
        <v>-4.557029940423297</v>
      </c>
    </row>
    <row r="106" spans="1:11" ht="12.75">
      <c r="A106" t="s">
        <v>66</v>
      </c>
      <c r="B106">
        <f>B66*10000/B62</f>
        <v>4.093234479327899</v>
      </c>
      <c r="C106">
        <f>C66*10000/C62</f>
        <v>4.511881208076741</v>
      </c>
      <c r="D106">
        <f>D66*10000/D62</f>
        <v>4.2666512874186555</v>
      </c>
      <c r="E106">
        <f>E66*10000/E62</f>
        <v>4.2965471042696315</v>
      </c>
      <c r="F106">
        <f>F66*10000/F62</f>
        <v>14.839412325951868</v>
      </c>
      <c r="G106">
        <f>AVERAGE(C106:E106)</f>
        <v>4.358359866588343</v>
      </c>
      <c r="H106">
        <f>STDEV(C106:E106)</f>
        <v>0.13379103738888035</v>
      </c>
      <c r="I106">
        <f>(B106*B4+C106*C4+D106*D4+E106*E4+F106*F4)/SUM(B4:F4)</f>
        <v>5.716636004291329</v>
      </c>
      <c r="K106">
        <f>(LN(H106)+LN(H126))/2-LN(K114*K115^6)</f>
        <v>-3.720729965896483</v>
      </c>
    </row>
    <row r="107" spans="1:11" ht="12.75">
      <c r="A107" t="s">
        <v>67</v>
      </c>
      <c r="B107">
        <f>B67*10000/B62</f>
        <v>0.06221228557439228</v>
      </c>
      <c r="C107">
        <f>C67*10000/C62</f>
        <v>0.22077300235326502</v>
      </c>
      <c r="D107">
        <f>D67*10000/D62</f>
        <v>0.2402999135505288</v>
      </c>
      <c r="E107">
        <f>E67*10000/E62</f>
        <v>-0.03327161495745975</v>
      </c>
      <c r="F107">
        <f>F67*10000/F62</f>
        <v>-0.1333873178854707</v>
      </c>
      <c r="G107">
        <f>AVERAGE(C107:E107)</f>
        <v>0.14260043364877803</v>
      </c>
      <c r="H107">
        <f>STDEV(C107:E107)</f>
        <v>0.1526222728697964</v>
      </c>
      <c r="I107">
        <f>(B107*B4+C107*C4+D107*D4+E107*E4+F107*F4)/SUM(B4:F4)</f>
        <v>0.09418716724839418</v>
      </c>
      <c r="K107">
        <f>(LN(H107)+LN(H127))/2-LN(K114*K115^7)</f>
        <v>-3.648981330530732</v>
      </c>
    </row>
    <row r="108" spans="1:9" ht="12.75">
      <c r="A108" t="s">
        <v>68</v>
      </c>
      <c r="B108">
        <f>B68*10000/B62</f>
        <v>0.11256103915775863</v>
      </c>
      <c r="C108">
        <f>C68*10000/C62</f>
        <v>-0.09573641562752586</v>
      </c>
      <c r="D108">
        <f>D68*10000/D62</f>
        <v>-0.14884418434052368</v>
      </c>
      <c r="E108">
        <f>E68*10000/E62</f>
        <v>-0.07686492145202246</v>
      </c>
      <c r="F108">
        <f>F68*10000/F62</f>
        <v>0.03325224241187859</v>
      </c>
      <c r="G108">
        <f>AVERAGE(C108:E108)</f>
        <v>-0.107148507140024</v>
      </c>
      <c r="H108">
        <f>STDEV(C108:E108)</f>
        <v>0.037321983414741224</v>
      </c>
      <c r="I108">
        <f>(B108*B4+C108*C4+D108*D4+E108*E4+F108*F4)/SUM(B4:F4)</f>
        <v>-0.056607443769661966</v>
      </c>
    </row>
    <row r="109" spans="1:9" ht="12.75">
      <c r="A109" t="s">
        <v>69</v>
      </c>
      <c r="B109">
        <f>B69*10000/B62</f>
        <v>-0.0042557484840973474</v>
      </c>
      <c r="C109">
        <f>C69*10000/C62</f>
        <v>0.027746442744364747</v>
      </c>
      <c r="D109">
        <f>D69*10000/D62</f>
        <v>0.003961614166530518</v>
      </c>
      <c r="E109">
        <f>E69*10000/E62</f>
        <v>-0.0244504467817479</v>
      </c>
      <c r="F109">
        <f>F69*10000/F62</f>
        <v>-0.029181524339849302</v>
      </c>
      <c r="G109">
        <f>AVERAGE(C109:E109)</f>
        <v>0.002419203376382456</v>
      </c>
      <c r="H109">
        <f>STDEV(C109:E109)</f>
        <v>0.026132605923146583</v>
      </c>
      <c r="I109">
        <f>(B109*B4+C109*C4+D109*D4+E109*E4+F109*F4)/SUM(B4:F4)</f>
        <v>-0.0027555718087554923</v>
      </c>
    </row>
    <row r="110" spans="1:11" ht="12.75">
      <c r="A110" t="s">
        <v>70</v>
      </c>
      <c r="B110">
        <f>B70*10000/B62</f>
        <v>-0.2855814860500427</v>
      </c>
      <c r="C110">
        <f>C70*10000/C62</f>
        <v>0.030183311668053815</v>
      </c>
      <c r="D110">
        <f>D70*10000/D62</f>
        <v>0.03007853132843365</v>
      </c>
      <c r="E110">
        <f>E70*10000/E62</f>
        <v>-0.012805420921958053</v>
      </c>
      <c r="F110">
        <f>F70*10000/F62</f>
        <v>-0.27339003578469373</v>
      </c>
      <c r="G110">
        <f>AVERAGE(C110:E110)</f>
        <v>0.01581880735817647</v>
      </c>
      <c r="H110">
        <f>STDEV(C110:E110)</f>
        <v>0.024789364215421755</v>
      </c>
      <c r="I110">
        <f>(B110*B4+C110*C4+D110*D4+E110*E4+F110*F4)/SUM(B4:F4)</f>
        <v>-0.06638347080976302</v>
      </c>
      <c r="K110">
        <f>EXP(AVERAGE(K103:K107))</f>
        <v>0.017900209182355322</v>
      </c>
    </row>
    <row r="111" spans="1:9" ht="12.75">
      <c r="A111" t="s">
        <v>71</v>
      </c>
      <c r="B111">
        <f>B71*10000/B62</f>
        <v>-0.007615939261362712</v>
      </c>
      <c r="C111">
        <f>C71*10000/C62</f>
        <v>0.005530804103654179</v>
      </c>
      <c r="D111">
        <f>D71*10000/D62</f>
        <v>0.0244942355019169</v>
      </c>
      <c r="E111">
        <f>E71*10000/E62</f>
        <v>0.01875254781767548</v>
      </c>
      <c r="F111">
        <f>F71*10000/F62</f>
        <v>-0.0015713197201587242</v>
      </c>
      <c r="G111">
        <f>AVERAGE(C111:E111)</f>
        <v>0.016259195807748855</v>
      </c>
      <c r="H111">
        <f>STDEV(C111:E111)</f>
        <v>0.009724481260365918</v>
      </c>
      <c r="I111">
        <f>(B111*B4+C111*C4+D111*D4+E111*E4+F111*F4)/SUM(B4:F4)</f>
        <v>0.010422891367776512</v>
      </c>
    </row>
    <row r="112" spans="1:9" ht="12.75">
      <c r="A112" t="s">
        <v>72</v>
      </c>
      <c r="B112">
        <f>B72*10000/B62</f>
        <v>-0.010501425880228664</v>
      </c>
      <c r="C112">
        <f>C72*10000/C62</f>
        <v>-0.0069404294920908625</v>
      </c>
      <c r="D112">
        <f>D72*10000/D62</f>
        <v>0.00011041741986153211</v>
      </c>
      <c r="E112">
        <f>E72*10000/E62</f>
        <v>-0.001908938318029832</v>
      </c>
      <c r="F112">
        <f>F72*10000/F62</f>
        <v>-0.024054530985678845</v>
      </c>
      <c r="G112">
        <f>AVERAGE(C112:E112)</f>
        <v>-0.0029129834634197206</v>
      </c>
      <c r="H112">
        <f>STDEV(C112:E112)</f>
        <v>0.003631072917807202</v>
      </c>
      <c r="I112">
        <f>(B112*B4+C112*C4+D112*D4+E112*E4+F112*F4)/SUM(B4:F4)</f>
        <v>-0.006830116917621215</v>
      </c>
    </row>
    <row r="113" spans="1:9" ht="12.75">
      <c r="A113" t="s">
        <v>73</v>
      </c>
      <c r="B113">
        <f>B73*10000/B62</f>
        <v>0.022783097647137988</v>
      </c>
      <c r="C113">
        <f>C73*10000/C62</f>
        <v>0.015048534290671498</v>
      </c>
      <c r="D113">
        <f>D73*10000/D62</f>
        <v>0.020517620811241897</v>
      </c>
      <c r="E113">
        <f>E73*10000/E62</f>
        <v>0.017037162863629142</v>
      </c>
      <c r="F113">
        <f>F73*10000/F62</f>
        <v>0.0011441989939563115</v>
      </c>
      <c r="G113">
        <f>AVERAGE(C113:E113)</f>
        <v>0.017534439321847513</v>
      </c>
      <c r="H113">
        <f>STDEV(C113:E113)</f>
        <v>0.0027682466922756134</v>
      </c>
      <c r="I113">
        <f>(B113*B4+C113*C4+D113*D4+E113*E4+F113*F4)/SUM(B4:F4)</f>
        <v>0.016110414102604692</v>
      </c>
    </row>
    <row r="114" spans="1:11" ht="12.75">
      <c r="A114" t="s">
        <v>74</v>
      </c>
      <c r="B114">
        <f>B74*10000/B62</f>
        <v>-0.19364229069505154</v>
      </c>
      <c r="C114">
        <f>C74*10000/C62</f>
        <v>-0.17992455673320762</v>
      </c>
      <c r="D114">
        <f>D74*10000/D62</f>
        <v>-0.17913923193540307</v>
      </c>
      <c r="E114">
        <f>E74*10000/E62</f>
        <v>-0.18318489237809094</v>
      </c>
      <c r="F114">
        <f>F74*10000/F62</f>
        <v>-0.14198795256823074</v>
      </c>
      <c r="G114">
        <f>AVERAGE(C114:E114)</f>
        <v>-0.18074956034890052</v>
      </c>
      <c r="H114">
        <f>STDEV(C114:E114)</f>
        <v>0.0021453007548635217</v>
      </c>
      <c r="I114">
        <f>(B114*B4+C114*C4+D114*D4+E114*E4+F114*F4)/SUM(B4:F4)</f>
        <v>-0.1774520537458683</v>
      </c>
      <c r="J114" t="s">
        <v>96</v>
      </c>
      <c r="K114">
        <v>285</v>
      </c>
    </row>
    <row r="115" spans="1:11" ht="12.75">
      <c r="A115" t="s">
        <v>75</v>
      </c>
      <c r="B115">
        <f>B75*10000/B62</f>
        <v>-0.00421978045429652</v>
      </c>
      <c r="C115">
        <f>C75*10000/C62</f>
        <v>-0.004036674232231408</v>
      </c>
      <c r="D115">
        <f>D75*10000/D62</f>
        <v>-0.0045506234266348864</v>
      </c>
      <c r="E115">
        <f>E75*10000/E62</f>
        <v>-0.0017240239033028293</v>
      </c>
      <c r="F115">
        <f>F75*10000/F62</f>
        <v>0.0006280012364732172</v>
      </c>
      <c r="G115">
        <f>AVERAGE(C115:E115)</f>
        <v>-0.0034371071873897084</v>
      </c>
      <c r="H115">
        <f>STDEV(C115:E115)</f>
        <v>0.001505664868843796</v>
      </c>
      <c r="I115">
        <f>(B115*B4+C115*C4+D115*D4+E115*E4+F115*F4)/SUM(B4:F4)</f>
        <v>-0.003008872230688952</v>
      </c>
      <c r="J115" t="s">
        <v>97</v>
      </c>
      <c r="K115">
        <v>0.5536</v>
      </c>
    </row>
    <row r="118" ht="12.75">
      <c r="A118" t="s">
        <v>91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92</v>
      </c>
      <c r="H120" t="s">
        <v>93</v>
      </c>
      <c r="I120" t="s">
        <v>94</v>
      </c>
    </row>
    <row r="121" spans="1:9" ht="12.75">
      <c r="A121" t="s">
        <v>76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77</v>
      </c>
      <c r="B122">
        <f>B82*10000/B62</f>
        <v>-44.48454579777451</v>
      </c>
      <c r="C122">
        <f>C82*10000/C62</f>
        <v>-19.203341535757364</v>
      </c>
      <c r="D122">
        <f>D82*10000/D62</f>
        <v>-2.083590024266685</v>
      </c>
      <c r="E122">
        <f>E82*10000/E62</f>
        <v>31.456887381628583</v>
      </c>
      <c r="F122">
        <f>F82*10000/F62</f>
        <v>30.24525260199522</v>
      </c>
      <c r="G122">
        <f>AVERAGE(C122:E122)</f>
        <v>3.3899852738681786</v>
      </c>
      <c r="H122">
        <f>STDEV(C122:E122)</f>
        <v>25.76984125676274</v>
      </c>
      <c r="I122">
        <f>(B122*B4+C122*C4+D122*D4+E122*E4+F122*F4)/SUM(B4:F4)</f>
        <v>0.02991926776219666</v>
      </c>
    </row>
    <row r="123" spans="1:9" ht="12.75">
      <c r="A123" t="s">
        <v>78</v>
      </c>
      <c r="B123">
        <f>B83*10000/B62</f>
        <v>-1.2847093052480576</v>
      </c>
      <c r="C123">
        <f>C83*10000/C62</f>
        <v>2.5339076993736716</v>
      </c>
      <c r="D123">
        <f>D83*10000/D62</f>
        <v>2.1216529394046013</v>
      </c>
      <c r="E123">
        <f>E83*10000/E62</f>
        <v>1.696689464903286</v>
      </c>
      <c r="F123">
        <f>F83*10000/F62</f>
        <v>4.467029111875518</v>
      </c>
      <c r="G123">
        <f>AVERAGE(C123:E123)</f>
        <v>2.117416701227186</v>
      </c>
      <c r="H123">
        <f>STDEV(C123:E123)</f>
        <v>0.41862519312369517</v>
      </c>
      <c r="I123">
        <f>(B123*B4+C123*C4+D123*D4+E123*E4+F123*F4)/SUM(B4:F4)</f>
        <v>1.9376895011429451</v>
      </c>
    </row>
    <row r="124" spans="1:9" ht="12.75">
      <c r="A124" t="s">
        <v>79</v>
      </c>
      <c r="B124">
        <f>B84*10000/B62</f>
        <v>-2.93667876496813</v>
      </c>
      <c r="C124">
        <f>C84*10000/C62</f>
        <v>1.1699079191219601</v>
      </c>
      <c r="D124">
        <f>D84*10000/D62</f>
        <v>-1.2773678711879095</v>
      </c>
      <c r="E124">
        <f>E84*10000/E62</f>
        <v>1.6733997489606087</v>
      </c>
      <c r="F124">
        <f>F84*10000/F62</f>
        <v>2.607665063621131</v>
      </c>
      <c r="G124">
        <f>AVERAGE(C124:E124)</f>
        <v>0.5219799322982198</v>
      </c>
      <c r="H124">
        <f>STDEV(C124:E124)</f>
        <v>1.5784851580269408</v>
      </c>
      <c r="I124">
        <f>(B124*B4+C124*C4+D124*D4+E124*E4+F124*F4)/SUM(B4:F4)</f>
        <v>0.29892232326489676</v>
      </c>
    </row>
    <row r="125" spans="1:9" ht="12.75">
      <c r="A125" t="s">
        <v>80</v>
      </c>
      <c r="B125">
        <f>B85*10000/B62</f>
        <v>0.3718207104271357</v>
      </c>
      <c r="C125">
        <f>C85*10000/C62</f>
        <v>0.8757935074077006</v>
      </c>
      <c r="D125">
        <f>D85*10000/D62</f>
        <v>0.846107852417726</v>
      </c>
      <c r="E125">
        <f>E85*10000/E62</f>
        <v>0.6134541047947272</v>
      </c>
      <c r="F125">
        <f>F85*10000/F62</f>
        <v>-0.9639517723138059</v>
      </c>
      <c r="G125">
        <f>AVERAGE(C125:E125)</f>
        <v>0.7784518215400512</v>
      </c>
      <c r="H125">
        <f>STDEV(C125:E125)</f>
        <v>0.14366104004365107</v>
      </c>
      <c r="I125">
        <f>(B125*B4+C125*C4+D125*D4+E125*E4+F125*F4)/SUM(B4:F4)</f>
        <v>0.4873675673998163</v>
      </c>
    </row>
    <row r="126" spans="1:9" ht="12.75">
      <c r="A126" t="s">
        <v>81</v>
      </c>
      <c r="B126">
        <f>B86*10000/B62</f>
        <v>-0.04449824491717302</v>
      </c>
      <c r="C126">
        <f>C86*10000/C62</f>
        <v>0.6314505744617998</v>
      </c>
      <c r="D126">
        <f>D86*10000/D62</f>
        <v>0.05282330239296404</v>
      </c>
      <c r="E126">
        <f>E86*10000/E62</f>
        <v>0.4420283274397898</v>
      </c>
      <c r="F126">
        <f>F86*10000/F62</f>
        <v>1.6713325998186126</v>
      </c>
      <c r="G126">
        <f>AVERAGE(C126:E126)</f>
        <v>0.3754340680981845</v>
      </c>
      <c r="H126">
        <f>STDEV(C126:E126)</f>
        <v>0.29500589236216673</v>
      </c>
      <c r="I126">
        <f>(B126*B4+C126*C4+D126*D4+E126*E4+F126*F4)/SUM(B4:F4)</f>
        <v>0.487316098677084</v>
      </c>
    </row>
    <row r="127" spans="1:9" ht="12.75">
      <c r="A127" t="s">
        <v>82</v>
      </c>
      <c r="B127">
        <f>B87*10000/B62</f>
        <v>-0.1330380249973005</v>
      </c>
      <c r="C127">
        <f>C87*10000/C62</f>
        <v>-0.01476850305127075</v>
      </c>
      <c r="D127">
        <f>D87*10000/D62</f>
        <v>-0.1977175375496879</v>
      </c>
      <c r="E127">
        <f>E87*10000/E62</f>
        <v>-0.10379332682591712</v>
      </c>
      <c r="F127">
        <f>F87*10000/F62</f>
        <v>0.3301278891939154</v>
      </c>
      <c r="G127">
        <f>AVERAGE(C127:E127)</f>
        <v>-0.1054264558089586</v>
      </c>
      <c r="H127">
        <f>STDEV(C127:E127)</f>
        <v>0.09148545042072095</v>
      </c>
      <c r="I127">
        <f>(B127*B4+C127*C4+D127*D4+E127*E4+F127*F4)/SUM(B4:F4)</f>
        <v>-0.05137466657515704</v>
      </c>
    </row>
    <row r="128" spans="1:9" ht="12.75">
      <c r="A128" t="s">
        <v>83</v>
      </c>
      <c r="B128">
        <f>B88*10000/B62</f>
        <v>-0.314228047212702</v>
      </c>
      <c r="C128">
        <f>C88*10000/C62</f>
        <v>0.10378880109557272</v>
      </c>
      <c r="D128">
        <f>D88*10000/D62</f>
        <v>-0.17088667974113841</v>
      </c>
      <c r="E128">
        <f>E88*10000/E62</f>
        <v>0.1738323390271783</v>
      </c>
      <c r="F128">
        <f>F88*10000/F62</f>
        <v>0.3878082841031517</v>
      </c>
      <c r="G128">
        <f>AVERAGE(C128:E128)</f>
        <v>0.03557815346053753</v>
      </c>
      <c r="H128">
        <f>STDEV(C128:E128)</f>
        <v>0.18220131671654013</v>
      </c>
      <c r="I128">
        <f>(B128*B4+C128*C4+D128*D4+E128*E4+F128*F4)/SUM(B4:F4)</f>
        <v>0.031845794361098266</v>
      </c>
    </row>
    <row r="129" spans="1:9" ht="12.75">
      <c r="A129" t="s">
        <v>84</v>
      </c>
      <c r="B129">
        <f>B89*10000/B62</f>
        <v>0.08893751861614473</v>
      </c>
      <c r="C129">
        <f>C89*10000/C62</f>
        <v>0.05724876942706592</v>
      </c>
      <c r="D129">
        <f>D89*10000/D62</f>
        <v>0.02783992218976368</v>
      </c>
      <c r="E129">
        <f>E89*10000/E62</f>
        <v>0.018616405308163858</v>
      </c>
      <c r="F129">
        <f>F89*10000/F62</f>
        <v>-0.05621773317926056</v>
      </c>
      <c r="G129">
        <f>AVERAGE(C129:E129)</f>
        <v>0.03456836564166449</v>
      </c>
      <c r="H129">
        <f>STDEV(C129:E129)</f>
        <v>0.02017594738340502</v>
      </c>
      <c r="I129">
        <f>(B129*B4+C129*C4+D129*D4+E129*E4+F129*F4)/SUM(B4:F4)</f>
        <v>0.030350161515515978</v>
      </c>
    </row>
    <row r="130" spans="1:9" ht="12.75">
      <c r="A130" t="s">
        <v>85</v>
      </c>
      <c r="B130">
        <f>B90*10000/B62</f>
        <v>0.05159447625088845</v>
      </c>
      <c r="C130">
        <f>C90*10000/C62</f>
        <v>0.09001688536127435</v>
      </c>
      <c r="D130">
        <f>D90*10000/D62</f>
        <v>0.07694734049762907</v>
      </c>
      <c r="E130">
        <f>E90*10000/E62</f>
        <v>0.03203294025440078</v>
      </c>
      <c r="F130">
        <f>F90*10000/F62</f>
        <v>0.2656888137984838</v>
      </c>
      <c r="G130">
        <f>AVERAGE(C130:E130)</f>
        <v>0.06633238870443474</v>
      </c>
      <c r="H130">
        <f>STDEV(C130:E130)</f>
        <v>0.03041450926314793</v>
      </c>
      <c r="I130">
        <f>(B130*B4+C130*C4+D130*D4+E130*E4+F130*F4)/SUM(B4:F4)</f>
        <v>0.09076578231640633</v>
      </c>
    </row>
    <row r="131" spans="1:9" ht="12.75">
      <c r="A131" t="s">
        <v>86</v>
      </c>
      <c r="B131">
        <f>B91*10000/B62</f>
        <v>0.007468311105582949</v>
      </c>
      <c r="C131">
        <f>C91*10000/C62</f>
        <v>0.0041606041280488875</v>
      </c>
      <c r="D131">
        <f>D91*10000/D62</f>
        <v>-0.03207399036573603</v>
      </c>
      <c r="E131">
        <f>E91*10000/E62</f>
        <v>-0.02170835749539639</v>
      </c>
      <c r="F131">
        <f>F91*10000/F62</f>
        <v>-0.003685852861147072</v>
      </c>
      <c r="G131">
        <f>AVERAGE(C131:E131)</f>
        <v>-0.01654058124436118</v>
      </c>
      <c r="H131">
        <f>STDEV(C131:E131)</f>
        <v>0.01866188342766693</v>
      </c>
      <c r="I131">
        <f>(B131*B4+C131*C4+D131*D4+E131*E4+F131*F4)/SUM(B4:F4)</f>
        <v>-0.011346673514203837</v>
      </c>
    </row>
    <row r="132" spans="1:9" ht="12.75">
      <c r="A132" t="s">
        <v>87</v>
      </c>
      <c r="B132">
        <f>B92*10000/B62</f>
        <v>-0.025685529874079332</v>
      </c>
      <c r="C132">
        <f>C92*10000/C62</f>
        <v>0.017731938700631906</v>
      </c>
      <c r="D132">
        <f>D92*10000/D62</f>
        <v>-0.01548734260111656</v>
      </c>
      <c r="E132">
        <f>E92*10000/E62</f>
        <v>0.019357272073339385</v>
      </c>
      <c r="F132">
        <f>F92*10000/F62</f>
        <v>0.03799206448684606</v>
      </c>
      <c r="G132">
        <f>AVERAGE(C132:E132)</f>
        <v>0.00720062272428491</v>
      </c>
      <c r="H132">
        <f>STDEV(C132:E132)</f>
        <v>0.01966515331997373</v>
      </c>
      <c r="I132">
        <f>(B132*B4+C132*C4+D132*D4+E132*E4+F132*F4)/SUM(B4:F4)</f>
        <v>0.006540763254262545</v>
      </c>
    </row>
    <row r="133" spans="1:9" ht="12.75">
      <c r="A133" t="s">
        <v>88</v>
      </c>
      <c r="B133">
        <f>B93*10000/B62</f>
        <v>0.06074717488374894</v>
      </c>
      <c r="C133">
        <f>C93*10000/C62</f>
        <v>0.03863497107940388</v>
      </c>
      <c r="D133">
        <f>D93*10000/D62</f>
        <v>0.04253566148646426</v>
      </c>
      <c r="E133">
        <f>E93*10000/E62</f>
        <v>0.05056222579448944</v>
      </c>
      <c r="F133">
        <f>F93*10000/F62</f>
        <v>0.025576255189955953</v>
      </c>
      <c r="G133">
        <f>AVERAGE(C133:E133)</f>
        <v>0.04391095278678586</v>
      </c>
      <c r="H133">
        <f>STDEV(C133:E133)</f>
        <v>0.0060813995823484485</v>
      </c>
      <c r="I133">
        <f>(B133*B4+C133*C4+D133*D4+E133*E4+F133*F4)/SUM(B4:F4)</f>
        <v>0.04390620081929193</v>
      </c>
    </row>
    <row r="134" spans="1:9" ht="12.75">
      <c r="A134" t="s">
        <v>89</v>
      </c>
      <c r="B134">
        <f>B94*10000/B62</f>
        <v>0.019669455204978155</v>
      </c>
      <c r="C134">
        <f>C94*10000/C62</f>
        <v>0.024905555711614572</v>
      </c>
      <c r="D134">
        <f>D94*10000/D62</f>
        <v>0.024285878384888524</v>
      </c>
      <c r="E134">
        <f>E94*10000/E62</f>
        <v>0.012046891151673636</v>
      </c>
      <c r="F134">
        <f>F94*10000/F62</f>
        <v>-0.017755000441460035</v>
      </c>
      <c r="G134">
        <f>AVERAGE(C134:E134)</f>
        <v>0.020412775082725577</v>
      </c>
      <c r="H134">
        <f>STDEV(C134:E134)</f>
        <v>0.007251690179412611</v>
      </c>
      <c r="I134">
        <f>(B134*B4+C134*C4+D134*D4+E134*E4+F134*F4)/SUM(B4:F4)</f>
        <v>0.015219566956977614</v>
      </c>
    </row>
    <row r="135" spans="1:9" ht="12.75">
      <c r="A135" t="s">
        <v>90</v>
      </c>
      <c r="B135">
        <f>B95*10000/B62</f>
        <v>2.175929656008146E-06</v>
      </c>
      <c r="C135">
        <f>C95*10000/C62</f>
        <v>-0.0004970465211260005</v>
      </c>
      <c r="D135">
        <f>D95*10000/D62</f>
        <v>0.0005225350969277977</v>
      </c>
      <c r="E135">
        <f>E95*10000/E62</f>
        <v>-0.0003471679777865287</v>
      </c>
      <c r="F135">
        <f>F95*10000/F62</f>
        <v>-0.004726445462943732</v>
      </c>
      <c r="G135">
        <f>AVERAGE(C135:E135)</f>
        <v>-0.00010722646732824386</v>
      </c>
      <c r="H135">
        <f>STDEV(C135:E135)</f>
        <v>0.0005505139555897315</v>
      </c>
      <c r="I135">
        <f>(B135*B4+C135*C4+D135*D4+E135*E4+F135*F4)/SUM(B4:F4)</f>
        <v>-0.0007069669554861419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ACCEL</dc:creator>
  <cp:keywords/>
  <dc:description/>
  <cp:lastModifiedBy>hagen</cp:lastModifiedBy>
  <cp:lastPrinted>2004-01-15T10:50:42Z</cp:lastPrinted>
  <dcterms:created xsi:type="dcterms:W3CDTF">2004-01-15T10:48:43Z</dcterms:created>
  <dcterms:modified xsi:type="dcterms:W3CDTF">2005-10-05T11:03:12Z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-534221447</vt:i4>
  </property>
  <property fmtid="{D5CDD505-2E9C-101B-9397-08002B2CF9AE}" pid="3" name="_EmailSubject">
    <vt:lpwstr>Mole change for the warm filed measurement at ACCEL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