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940" windowHeight="9150" activeTab="1"/>
  </bookViews>
  <sheets>
    <sheet name="Result_HCMQAP" sheetId="1" r:id="rId1"/>
    <sheet name="Result2_HCMQAP" sheetId="2" r:id="rId2"/>
  </sheets>
  <definedNames>
    <definedName name="_xlnm.Print_Area" localSheetId="0">'Result_HCMQAP'!$A$1:$G$67</definedName>
  </definedNames>
  <calcPr fullCalcOnLoad="1"/>
</workbook>
</file>

<file path=xl/sharedStrings.xml><?xml version="1.0" encoding="utf-8"?>
<sst xmlns="http://schemas.openxmlformats.org/spreadsheetml/2006/main" count="202" uniqueCount="97">
  <si>
    <t xml:space="preserve"> Wed 24/03/2004       13:40:14</t>
  </si>
  <si>
    <t>LISSNER</t>
  </si>
  <si>
    <t>HCMQAP212</t>
  </si>
  <si>
    <t>Aperture2</t>
  </si>
  <si>
    <t>Taupe_quadrupole#4</t>
  </si>
  <si>
    <t>Position</t>
  </si>
  <si>
    <t>Position 1</t>
  </si>
  <si>
    <t>Position 2</t>
  </si>
  <si>
    <t>Position 3</t>
  </si>
  <si>
    <t>Position 4</t>
  </si>
  <si>
    <t>Position 5</t>
  </si>
  <si>
    <t>Integrales</t>
  </si>
  <si>
    <t>Cn (T)</t>
  </si>
  <si>
    <t>Angle (Horiz,Cn)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</si>
  <si>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</si>
  <si>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</si>
  <si>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</si>
  <si>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</si>
  <si>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</si>
  <si>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</si>
  <si>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</si>
  <si>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</si>
  <si>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</si>
  <si>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</si>
  <si>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</si>
  <si>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</si>
  <si>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</si>
  <si>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b14!</t>
  </si>
  <si>
    <t>b15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</si>
  <si>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</si>
  <si>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</si>
  <si>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</si>
  <si>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</si>
  <si>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</si>
  <si>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</si>
  <si>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</si>
  <si>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</si>
  <si>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</si>
  <si>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a10!</t>
  </si>
  <si>
    <t>a11</t>
  </si>
  <si>
    <t>a12</t>
  </si>
  <si>
    <t>a13*</t>
  </si>
  <si>
    <t>a14</t>
  </si>
  <si>
    <t>a15</t>
  </si>
  <si>
    <t>Temp taupe (deg)</t>
  </si>
  <si>
    <t>Niv init (mrad)</t>
  </si>
  <si>
    <t>C2 centre (T)</t>
  </si>
  <si>
    <t>Long. Mag. (m)</t>
  </si>
  <si>
    <t>Number of measurement</t>
  </si>
  <si>
    <t>Mean real current</t>
  </si>
  <si>
    <t xml:space="preserve">* = Integral error  ! = Central error           Conclusion : CONTACT CEA           </t>
  </si>
  <si>
    <t>Duration : 31mn</t>
  </si>
  <si>
    <t>Dx moy(m)</t>
  </si>
  <si>
    <t>Dy moy(m)</t>
  </si>
  <si>
    <t>Dx moy (mm)</t>
  </si>
  <si>
    <t>Dy moy (mm)</t>
  </si>
  <si>
    <t>* = Integral error  ! = Central error           Conclusion : CONTACT CEA           Duration : 31mn</t>
  </si>
  <si>
    <t>Dx corrected</t>
  </si>
  <si>
    <t>Dy corrected</t>
  </si>
  <si>
    <t>Integrals</t>
  </si>
  <si>
    <t>Feed down</t>
  </si>
  <si>
    <t>Feed down normalised</t>
  </si>
  <si>
    <t>b1'</t>
  </si>
  <si>
    <t>Central</t>
  </si>
  <si>
    <t>Sigma</t>
  </si>
  <si>
    <t>b2'</t>
  </si>
  <si>
    <t>b3'</t>
  </si>
  <si>
    <t>b4'</t>
  </si>
  <si>
    <t>b5'</t>
  </si>
  <si>
    <t>b6'</t>
  </si>
  <si>
    <t>b7'</t>
  </si>
  <si>
    <t>b8'</t>
  </si>
  <si>
    <t>b9'</t>
  </si>
  <si>
    <t>b10'</t>
  </si>
  <si>
    <t>b11'</t>
  </si>
  <si>
    <t>b12'</t>
  </si>
  <si>
    <t>b13'</t>
  </si>
  <si>
    <t>b14'</t>
  </si>
  <si>
    <t>b15'</t>
  </si>
  <si>
    <t>a1'</t>
  </si>
  <si>
    <t>a2'</t>
  </si>
  <si>
    <t>a3'</t>
  </si>
  <si>
    <t>a4'</t>
  </si>
  <si>
    <t>a5'</t>
  </si>
  <si>
    <t>a6'</t>
  </si>
  <si>
    <t>a7'</t>
  </si>
  <si>
    <t>a8'</t>
  </si>
  <si>
    <t>a9'</t>
  </si>
  <si>
    <t>a10'</t>
  </si>
  <si>
    <t>a11'</t>
  </si>
  <si>
    <t>a12'</t>
  </si>
  <si>
    <t>a13'</t>
  </si>
  <si>
    <t>a14'</t>
  </si>
  <si>
    <t>a15'</t>
  </si>
  <si>
    <t>Coil Waviness</t>
  </si>
  <si>
    <t>alpha</t>
  </si>
  <si>
    <t>beta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</si>
</sst>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  <numFmt numFmtId="173" formatCode="0.#"/>
  </numFmts>
  <fonts count="7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b/>
      <sz val="10.75"/>
      <name val="Arial"/>
      <family val="0"/>
    </font>
    <font>
      <sz val="10.7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5"/>
        <bgColor indexed="64"/>
      </patternFill>
    </fill>
  </fills>
  <borders count="30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11" fontId="1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172" fontId="1" fillId="0" borderId="8" xfId="0" applyNumberFormat="1" applyFont="1" applyBorder="1" applyAlignment="1">
      <alignment horizontal="left"/>
    </xf>
    <xf numFmtId="1" fontId="1" fillId="0" borderId="8" xfId="0" applyNumberFormat="1" applyFont="1" applyBorder="1" applyAlignment="1">
      <alignment horizontal="left"/>
    </xf>
    <xf numFmtId="172" fontId="2" fillId="0" borderId="8" xfId="0" applyNumberFormat="1" applyFont="1" applyBorder="1" applyAlignment="1">
      <alignment horizontal="left"/>
    </xf>
    <xf numFmtId="172" fontId="1" fillId="0" borderId="9" xfId="0" applyNumberFormat="1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172" fontId="1" fillId="0" borderId="15" xfId="0" applyNumberFormat="1" applyFont="1" applyBorder="1" applyAlignment="1">
      <alignment horizontal="left"/>
    </xf>
    <xf numFmtId="1" fontId="1" fillId="0" borderId="15" xfId="0" applyNumberFormat="1" applyFont="1" applyBorder="1" applyAlignment="1">
      <alignment horizontal="left"/>
    </xf>
    <xf numFmtId="172" fontId="2" fillId="0" borderId="15" xfId="0" applyNumberFormat="1" applyFont="1" applyBorder="1" applyAlignment="1">
      <alignment horizontal="left"/>
    </xf>
    <xf numFmtId="172" fontId="1" fillId="0" borderId="16" xfId="0" applyNumberFormat="1" applyFont="1" applyBorder="1" applyAlignment="1">
      <alignment horizontal="left"/>
    </xf>
    <xf numFmtId="172" fontId="1" fillId="0" borderId="7" xfId="0" applyNumberFormat="1" applyFont="1" applyBorder="1" applyAlignment="1">
      <alignment horizontal="left"/>
    </xf>
    <xf numFmtId="1" fontId="1" fillId="0" borderId="7" xfId="0" applyNumberFormat="1" applyFont="1" applyBorder="1" applyAlignment="1">
      <alignment horizontal="left"/>
    </xf>
    <xf numFmtId="172" fontId="2" fillId="0" borderId="7" xfId="0" applyNumberFormat="1" applyFont="1" applyBorder="1" applyAlignment="1">
      <alignment horizontal="left"/>
    </xf>
    <xf numFmtId="172" fontId="1" fillId="0" borderId="17" xfId="0" applyNumberFormat="1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172" fontId="1" fillId="0" borderId="19" xfId="0" applyNumberFormat="1" applyFont="1" applyBorder="1" applyAlignment="1">
      <alignment horizontal="left"/>
    </xf>
    <xf numFmtId="1" fontId="1" fillId="0" borderId="19" xfId="0" applyNumberFormat="1" applyFont="1" applyBorder="1" applyAlignment="1">
      <alignment horizontal="left"/>
    </xf>
    <xf numFmtId="172" fontId="2" fillId="0" borderId="19" xfId="0" applyNumberFormat="1" applyFont="1" applyBorder="1" applyAlignment="1">
      <alignment horizontal="left"/>
    </xf>
    <xf numFmtId="172" fontId="1" fillId="0" borderId="20" xfId="0" applyNumberFormat="1" applyFont="1" applyBorder="1" applyAlignment="1">
      <alignment horizontal="left"/>
    </xf>
    <xf numFmtId="172" fontId="1" fillId="0" borderId="21" xfId="0" applyNumberFormat="1" applyFont="1" applyBorder="1" applyAlignment="1">
      <alignment horizontal="left"/>
    </xf>
    <xf numFmtId="172" fontId="1" fillId="0" borderId="22" xfId="0" applyNumberFormat="1" applyFont="1" applyBorder="1" applyAlignment="1">
      <alignment horizontal="left"/>
    </xf>
    <xf numFmtId="172" fontId="1" fillId="0" borderId="23" xfId="0" applyNumberFormat="1" applyFont="1" applyBorder="1" applyAlignment="1">
      <alignment horizontal="left"/>
    </xf>
    <xf numFmtId="1" fontId="1" fillId="0" borderId="24" xfId="0" applyNumberFormat="1" applyFont="1" applyBorder="1" applyAlignment="1">
      <alignment horizontal="left"/>
    </xf>
    <xf numFmtId="172" fontId="1" fillId="0" borderId="24" xfId="0" applyNumberFormat="1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172" fontId="1" fillId="0" borderId="26" xfId="0" applyNumberFormat="1" applyFont="1" applyBorder="1" applyAlignment="1">
      <alignment horizontal="left"/>
    </xf>
    <xf numFmtId="172" fontId="1" fillId="0" borderId="27" xfId="0" applyNumberFormat="1" applyFont="1" applyBorder="1" applyAlignment="1">
      <alignment horizontal="left"/>
    </xf>
    <xf numFmtId="172" fontId="1" fillId="0" borderId="28" xfId="0" applyNumberFormat="1" applyFont="1" applyBorder="1" applyAlignment="1">
      <alignment horizontal="left"/>
    </xf>
    <xf numFmtId="172" fontId="1" fillId="0" borderId="29" xfId="0" applyNumberFormat="1" applyFont="1" applyBorder="1" applyAlignment="1">
      <alignment horizontal="left"/>
    </xf>
    <xf numFmtId="172" fontId="2" fillId="2" borderId="7" xfId="0" applyNumberFormat="1" applyFont="1" applyFill="1" applyBorder="1" applyAlignment="1">
      <alignment horizontal="left"/>
    </xf>
    <xf numFmtId="172" fontId="2" fillId="2" borderId="8" xfId="0" applyNumberFormat="1" applyFont="1" applyFill="1" applyBorder="1" applyAlignment="1">
      <alignment horizontal="left"/>
    </xf>
    <xf numFmtId="172" fontId="2" fillId="2" borderId="15" xfId="0" applyNumberFormat="1" applyFont="1" applyFill="1" applyBorder="1" applyAlignment="1">
      <alignment horizontal="left"/>
    </xf>
    <xf numFmtId="172" fontId="4" fillId="0" borderId="19" xfId="0" applyNumberFormat="1" applyFont="1" applyBorder="1" applyAlignment="1">
      <alignment horizontal="left"/>
    </xf>
    <xf numFmtId="1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Result_HCMQAP!$A$8</c:f>
              <c:strCache>
                <c:ptCount val="1"/>
                <c:pt idx="0">
                  <c:v>b3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Result_HCMQAP!$B$8:$F$8</c:f>
              <c:numCache/>
            </c:numRef>
          </c:val>
          <c:smooth val="0"/>
        </c:ser>
        <c:ser>
          <c:idx val="1"/>
          <c:order val="1"/>
          <c:tx>
            <c:strRef>
              <c:f>Result_HCMQAP!$A$23</c:f>
              <c:strCache>
                <c:ptCount val="1"/>
                <c:pt idx="0">
                  <c:v>a3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Result_HCMQAP!$B$23:$F$23</c:f>
              <c:numCache/>
            </c:numRef>
          </c:val>
          <c:smooth val="0"/>
        </c:ser>
        <c:ser>
          <c:idx val="2"/>
          <c:order val="2"/>
          <c:tx>
            <c:strRef>
              <c:f>Result_HCMQAP!$A$11</c:f>
              <c:strCache>
                <c:ptCount val="1"/>
                <c:pt idx="0">
                  <c:v>b6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Result_HCMQAP!$B$11:$F$11</c:f>
              <c:numCache/>
            </c:numRef>
          </c:val>
          <c:smooth val="0"/>
        </c:ser>
        <c:ser>
          <c:idx val="3"/>
          <c:order val="3"/>
          <c:tx>
            <c:strRef>
              <c:f>Result_HCMQAP!$A$26</c:f>
              <c:strCache>
                <c:ptCount val="1"/>
                <c:pt idx="0">
                  <c:v>a6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Result_HCMQAP!$B$26:$F$26</c:f>
              <c:numCache/>
            </c:numRef>
          </c:val>
          <c:smooth val="0"/>
        </c:ser>
        <c:ser>
          <c:idx val="4"/>
          <c:order val="4"/>
          <c:tx>
            <c:strRef>
              <c:f>Result_HCMQAP!$A$9</c:f>
              <c:strCache>
                <c:ptCount val="1"/>
                <c:pt idx="0">
                  <c:v>b4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Result_HCMQAP!$B$9:$F$9</c:f>
              <c:numCache/>
            </c:numRef>
          </c:val>
          <c:smooth val="0"/>
        </c:ser>
        <c:ser>
          <c:idx val="5"/>
          <c:order val="5"/>
          <c:tx>
            <c:strRef>
              <c:f>Result_HCMQAP!$A$24</c:f>
              <c:strCache>
                <c:ptCount val="1"/>
                <c:pt idx="0">
                  <c:v>a4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Result_HCMQAP!$B$24:$F$24</c:f>
              <c:numCache/>
            </c:numRef>
          </c:val>
          <c:smooth val="0"/>
        </c:ser>
        <c:ser>
          <c:idx val="6"/>
          <c:order val="6"/>
          <c:tx>
            <c:strRef>
              <c:f>Result_HCMQAP!$A$10</c:f>
              <c:strCache>
                <c:ptCount val="1"/>
                <c:pt idx="0">
                  <c:v>b5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Result_HCMQAP!$B$10:$F$10</c:f>
              <c:numCache/>
            </c:numRef>
          </c:val>
          <c:smooth val="0"/>
        </c:ser>
        <c:ser>
          <c:idx val="7"/>
          <c:order val="7"/>
          <c:tx>
            <c:strRef>
              <c:f>Result_HCMQAP!$A$25</c:f>
              <c:strCache>
                <c:ptCount val="1"/>
                <c:pt idx="0">
                  <c:v>a5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Result_HCMQAP!$B$25:$F$25</c:f>
              <c:numCache/>
            </c:numRef>
          </c:val>
          <c:smooth val="0"/>
        </c:ser>
        <c:marker val="1"/>
        <c:axId val="64426181"/>
        <c:axId val="42964718"/>
      </c:lineChart>
      <c:catAx>
        <c:axId val="6442618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42964718"/>
        <c:crosses val="autoZero"/>
        <c:auto val="1"/>
        <c:lblOffset val="100"/>
        <c:noMultiLvlLbl val="0"/>
      </c:catAx>
      <c:valAx>
        <c:axId val="429647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Multipôles (unités)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#" sourceLinked="0"/>
        <c:majorTickMark val="out"/>
        <c:minorTickMark val="none"/>
        <c:tickLblPos val="nextTo"/>
        <c:crossAx val="64426181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44</xdr:row>
      <xdr:rowOff>57150</xdr:rowOff>
    </xdr:from>
    <xdr:to>
      <xdr:col>6</xdr:col>
      <xdr:colOff>485775</xdr:colOff>
      <xdr:row>64</xdr:row>
      <xdr:rowOff>66675</xdr:rowOff>
    </xdr:to>
    <xdr:graphicFrame>
      <xdr:nvGraphicFramePr>
        <xdr:cNvPr id="1" name="Chart 1"/>
        <xdr:cNvGraphicFramePr/>
      </xdr:nvGraphicFramePr>
      <xdr:xfrm>
        <a:off x="171450" y="6848475"/>
        <a:ext cx="53816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1">
      <selection activeCell="A1" sqref="A1"/>
    </sheetView>
  </sheetViews>
  <sheetFormatPr defaultColWidth="9.140625" defaultRowHeight="12.75"/>
  <cols>
    <col min="1" max="1" width="14.57421875" style="4" customWidth="1"/>
    <col min="2" max="2" width="12.421875" style="1" customWidth="1"/>
    <col min="3" max="3" width="11.421875" style="1" customWidth="1"/>
    <col min="4" max="4" width="14.7109375" style="1" customWidth="1"/>
    <col min="5" max="16384" width="11.421875" style="1" customWidth="1"/>
  </cols>
  <sheetData>
    <row r="1" spans="1:5" ht="12">
      <c r="A1" s="4" t="s">
        <v>0</v>
      </c>
      <c r="C1" s="1" t="s">
        <v>2</v>
      </c>
      <c r="E1" s="1" t="s">
        <v>3</v>
      </c>
    </row>
    <row r="2" spans="3:5" ht="12.75" thickBot="1">
      <c r="C2" s="1" t="s">
        <v>1</v>
      </c>
      <c r="E2" s="1" t="s">
        <v>4</v>
      </c>
    </row>
    <row r="3" spans="1:7" ht="12">
      <c r="A3" s="1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23" t="s">
        <v>10</v>
      </c>
      <c r="G3" s="33" t="s">
        <v>11</v>
      </c>
    </row>
    <row r="4" spans="1:7" ht="12">
      <c r="A4" s="20" t="s">
        <v>12</v>
      </c>
      <c r="B4" s="12">
        <v>-0.002255</v>
      </c>
      <c r="C4" s="13">
        <v>-0.003749</v>
      </c>
      <c r="D4" s="13">
        <v>-0.003748</v>
      </c>
      <c r="E4" s="13">
        <v>-0.00375</v>
      </c>
      <c r="F4" s="24">
        <v>-0.00208</v>
      </c>
      <c r="G4" s="34">
        <v>-0.011684</v>
      </c>
    </row>
    <row r="5" spans="1:7" ht="12.75" thickBot="1">
      <c r="A5" s="44" t="s">
        <v>13</v>
      </c>
      <c r="B5" s="45">
        <v>7.895201</v>
      </c>
      <c r="C5" s="46">
        <v>1.87772</v>
      </c>
      <c r="D5" s="46">
        <v>-1.339759</v>
      </c>
      <c r="E5" s="46">
        <v>-2.537155</v>
      </c>
      <c r="F5" s="47">
        <v>-4.854982</v>
      </c>
      <c r="G5" s="48">
        <v>4.444785</v>
      </c>
    </row>
    <row r="6" spans="1:7" ht="12.75" thickTop="1">
      <c r="A6" s="6" t="s">
        <v>14</v>
      </c>
      <c r="B6" s="39">
        <v>-6.292267</v>
      </c>
      <c r="C6" s="40">
        <v>-42.44053</v>
      </c>
      <c r="D6" s="40">
        <v>100.6614</v>
      </c>
      <c r="E6" s="40">
        <v>-71.46129</v>
      </c>
      <c r="F6" s="41">
        <v>30.7467</v>
      </c>
      <c r="G6" s="42">
        <v>-0.005537639</v>
      </c>
    </row>
    <row r="7" spans="1:7" ht="12">
      <c r="A7" s="20" t="s">
        <v>15</v>
      </c>
      <c r="B7" s="30">
        <v>10000</v>
      </c>
      <c r="C7" s="15">
        <v>10000</v>
      </c>
      <c r="D7" s="15">
        <v>10000</v>
      </c>
      <c r="E7" s="15">
        <v>10000</v>
      </c>
      <c r="F7" s="26">
        <v>10000</v>
      </c>
      <c r="G7" s="36">
        <v>10000</v>
      </c>
    </row>
    <row r="8" spans="1:7" ht="12">
      <c r="A8" s="20" t="s">
        <v>16</v>
      </c>
      <c r="B8" s="29">
        <v>1.688322</v>
      </c>
      <c r="C8" s="14">
        <v>1.727082</v>
      </c>
      <c r="D8" s="14">
        <v>2.052058</v>
      </c>
      <c r="E8" s="14">
        <v>2.039703</v>
      </c>
      <c r="F8" s="25">
        <v>-0.7072958</v>
      </c>
      <c r="G8" s="35">
        <v>1.549953</v>
      </c>
    </row>
    <row r="9" spans="1:7" ht="12">
      <c r="A9" s="20" t="s">
        <v>17</v>
      </c>
      <c r="B9" s="29">
        <v>0.3295608</v>
      </c>
      <c r="C9" s="14">
        <v>0.4134247</v>
      </c>
      <c r="D9" s="14">
        <v>0.5088766</v>
      </c>
      <c r="E9" s="14">
        <v>0.0820525</v>
      </c>
      <c r="F9" s="25">
        <v>-1.846273</v>
      </c>
      <c r="G9" s="35">
        <v>0.042858</v>
      </c>
    </row>
    <row r="10" spans="1:7" ht="12">
      <c r="A10" s="20" t="s">
        <v>18</v>
      </c>
      <c r="B10" s="29">
        <v>0.1968555</v>
      </c>
      <c r="C10" s="14">
        <v>-0.1782483</v>
      </c>
      <c r="D10" s="14">
        <v>0.2353448</v>
      </c>
      <c r="E10" s="14">
        <v>0.2498755</v>
      </c>
      <c r="F10" s="25">
        <v>-0.4810878</v>
      </c>
      <c r="G10" s="35">
        <v>0.03809018</v>
      </c>
    </row>
    <row r="11" spans="1:7" ht="12">
      <c r="A11" s="21" t="s">
        <v>19</v>
      </c>
      <c r="B11" s="31">
        <v>1.851952</v>
      </c>
      <c r="C11" s="16">
        <v>2.52205</v>
      </c>
      <c r="D11" s="16">
        <v>2.225948</v>
      </c>
      <c r="E11" s="16">
        <v>1.526998</v>
      </c>
      <c r="F11" s="27">
        <v>12.34041</v>
      </c>
      <c r="G11" s="37">
        <v>3.424928</v>
      </c>
    </row>
    <row r="12" spans="1:7" ht="12">
      <c r="A12" s="20" t="s">
        <v>20</v>
      </c>
      <c r="B12" s="29">
        <v>0.08782934</v>
      </c>
      <c r="C12" s="14">
        <v>-0.04525171</v>
      </c>
      <c r="D12" s="14">
        <v>0.2436959</v>
      </c>
      <c r="E12" s="14">
        <v>0.1987195</v>
      </c>
      <c r="F12" s="25">
        <v>0.1666491</v>
      </c>
      <c r="G12" s="35">
        <v>0.1305161</v>
      </c>
    </row>
    <row r="13" spans="1:7" ht="12">
      <c r="A13" s="20" t="s">
        <v>21</v>
      </c>
      <c r="B13" s="29">
        <v>-0.009993836</v>
      </c>
      <c r="C13" s="14">
        <v>-0.05281888</v>
      </c>
      <c r="D13" s="14">
        <v>-0.08839678</v>
      </c>
      <c r="E13" s="14">
        <v>-0.08081864</v>
      </c>
      <c r="F13" s="25">
        <v>-0.2404141</v>
      </c>
      <c r="G13" s="35">
        <v>-0.08694698</v>
      </c>
    </row>
    <row r="14" spans="1:7" ht="12">
      <c r="A14" s="20" t="s">
        <v>22</v>
      </c>
      <c r="B14" s="29">
        <v>0.002865756</v>
      </c>
      <c r="C14" s="14">
        <v>0.01434707</v>
      </c>
      <c r="D14" s="14">
        <v>-0.09355632</v>
      </c>
      <c r="E14" s="14">
        <v>0.01291143</v>
      </c>
      <c r="F14" s="25">
        <v>-0.06985071</v>
      </c>
      <c r="G14" s="35">
        <v>-0.02483894</v>
      </c>
    </row>
    <row r="15" spans="1:7" ht="12">
      <c r="A15" s="21" t="s">
        <v>23</v>
      </c>
      <c r="B15" s="31">
        <v>-0.526763</v>
      </c>
      <c r="C15" s="16">
        <v>-0.160791</v>
      </c>
      <c r="D15" s="16">
        <v>-0.1686981</v>
      </c>
      <c r="E15" s="16">
        <v>-0.2505285</v>
      </c>
      <c r="F15" s="27">
        <v>-0.5100578</v>
      </c>
      <c r="G15" s="37">
        <v>-0.2838521</v>
      </c>
    </row>
    <row r="16" spans="1:7" ht="12">
      <c r="A16" s="20" t="s">
        <v>24</v>
      </c>
      <c r="B16" s="29">
        <v>0.0144974</v>
      </c>
      <c r="C16" s="14">
        <v>-0.06085198</v>
      </c>
      <c r="D16" s="14">
        <v>0.02067185</v>
      </c>
      <c r="E16" s="14">
        <v>-0.002393243</v>
      </c>
      <c r="F16" s="25">
        <v>0.01393893</v>
      </c>
      <c r="G16" s="35">
        <v>-0.006281219</v>
      </c>
    </row>
    <row r="17" spans="1:7" ht="12">
      <c r="A17" s="20" t="s">
        <v>25</v>
      </c>
      <c r="B17" s="29">
        <v>-0.02044283</v>
      </c>
      <c r="C17" s="14">
        <v>-0.01396139</v>
      </c>
      <c r="D17" s="14">
        <v>-0.03104031</v>
      </c>
      <c r="E17" s="14">
        <v>-0.006956691</v>
      </c>
      <c r="F17" s="25">
        <v>-0.02306236</v>
      </c>
      <c r="G17" s="35">
        <v>-0.01853432</v>
      </c>
    </row>
    <row r="18" spans="1:7" ht="12">
      <c r="A18" s="20" t="s">
        <v>26</v>
      </c>
      <c r="B18" s="29">
        <v>0.005731409</v>
      </c>
      <c r="C18" s="14">
        <v>0.02166535</v>
      </c>
      <c r="D18" s="14">
        <v>-0.01176005</v>
      </c>
      <c r="E18" s="14">
        <v>0.03232726</v>
      </c>
      <c r="F18" s="25">
        <v>-0.03038067</v>
      </c>
      <c r="G18" s="35">
        <v>0.006954548</v>
      </c>
    </row>
    <row r="19" spans="1:7" ht="12">
      <c r="A19" s="21" t="s">
        <v>27</v>
      </c>
      <c r="B19" s="49">
        <v>-0.2101361</v>
      </c>
      <c r="C19" s="50">
        <v>-0.2000913</v>
      </c>
      <c r="D19" s="50">
        <v>-0.2009804</v>
      </c>
      <c r="E19" s="50">
        <v>-0.1853408</v>
      </c>
      <c r="F19" s="51">
        <v>-0.1637061</v>
      </c>
      <c r="G19" s="37">
        <v>-0.1933509</v>
      </c>
    </row>
    <row r="20" spans="1:7" ht="12.75" thickBot="1">
      <c r="A20" s="44" t="s">
        <v>28</v>
      </c>
      <c r="B20" s="45">
        <v>-0.00456295</v>
      </c>
      <c r="C20" s="46">
        <v>-0.002890025</v>
      </c>
      <c r="D20" s="46">
        <v>-0.0005663843</v>
      </c>
      <c r="E20" s="46">
        <v>-0.005980935</v>
      </c>
      <c r="F20" s="47">
        <v>-0.002872557</v>
      </c>
      <c r="G20" s="48">
        <v>-0.003314136</v>
      </c>
    </row>
    <row r="21" spans="1:7" ht="12.75" thickTop="1">
      <c r="A21" s="6" t="s">
        <v>29</v>
      </c>
      <c r="B21" s="39">
        <v>-123.472</v>
      </c>
      <c r="C21" s="40">
        <v>100.9996</v>
      </c>
      <c r="D21" s="40">
        <v>4.519682</v>
      </c>
      <c r="E21" s="40">
        <v>41.13977</v>
      </c>
      <c r="F21" s="41">
        <v>-130.4617</v>
      </c>
      <c r="G21" s="43">
        <v>0.008387049</v>
      </c>
    </row>
    <row r="22" spans="1:7" ht="12">
      <c r="A22" s="20" t="s">
        <v>30</v>
      </c>
      <c r="B22" s="29">
        <v>157.9171</v>
      </c>
      <c r="C22" s="14">
        <v>37.55459</v>
      </c>
      <c r="D22" s="14">
        <v>-26.79525</v>
      </c>
      <c r="E22" s="14">
        <v>-50.74353</v>
      </c>
      <c r="F22" s="25">
        <v>-97.10269</v>
      </c>
      <c r="G22" s="36">
        <v>0</v>
      </c>
    </row>
    <row r="23" spans="1:7" ht="12">
      <c r="A23" s="20" t="s">
        <v>31</v>
      </c>
      <c r="B23" s="29">
        <v>-2.23531</v>
      </c>
      <c r="C23" s="14">
        <v>1.547149</v>
      </c>
      <c r="D23" s="14">
        <v>-0.1256793</v>
      </c>
      <c r="E23" s="14">
        <v>-1.237873</v>
      </c>
      <c r="F23" s="25">
        <v>3.55578</v>
      </c>
      <c r="G23" s="35">
        <v>0.1951881</v>
      </c>
    </row>
    <row r="24" spans="1:7" ht="12">
      <c r="A24" s="20" t="s">
        <v>32</v>
      </c>
      <c r="B24" s="29">
        <v>1.043477</v>
      </c>
      <c r="C24" s="14">
        <v>0.1407194</v>
      </c>
      <c r="D24" s="14">
        <v>-0.01475585</v>
      </c>
      <c r="E24" s="14">
        <v>-2.313048</v>
      </c>
      <c r="F24" s="25">
        <v>-1.041818</v>
      </c>
      <c r="G24" s="35">
        <v>-0.5143974</v>
      </c>
    </row>
    <row r="25" spans="1:7" ht="12">
      <c r="A25" s="20" t="s">
        <v>33</v>
      </c>
      <c r="B25" s="29">
        <v>-0.9427681</v>
      </c>
      <c r="C25" s="14">
        <v>0.1652613</v>
      </c>
      <c r="D25" s="14">
        <v>-0.4007831</v>
      </c>
      <c r="E25" s="14">
        <v>-0.4186705</v>
      </c>
      <c r="F25" s="25">
        <v>-1.818268</v>
      </c>
      <c r="G25" s="35">
        <v>-0.5365218</v>
      </c>
    </row>
    <row r="26" spans="1:7" ht="12">
      <c r="A26" s="21" t="s">
        <v>34</v>
      </c>
      <c r="B26" s="31">
        <v>1.470934</v>
      </c>
      <c r="C26" s="16">
        <v>0.06764032</v>
      </c>
      <c r="D26" s="16">
        <v>0.3282578</v>
      </c>
      <c r="E26" s="16">
        <v>0.4689789</v>
      </c>
      <c r="F26" s="27">
        <v>1.068434</v>
      </c>
      <c r="G26" s="37">
        <v>0.5632963</v>
      </c>
    </row>
    <row r="27" spans="1:7" ht="12">
      <c r="A27" s="20" t="s">
        <v>35</v>
      </c>
      <c r="B27" s="29">
        <v>-0.06034203</v>
      </c>
      <c r="C27" s="14">
        <v>0.04423828</v>
      </c>
      <c r="D27" s="14">
        <v>0.266527</v>
      </c>
      <c r="E27" s="14">
        <v>0.1397467</v>
      </c>
      <c r="F27" s="25">
        <v>0.2083166</v>
      </c>
      <c r="G27" s="35">
        <v>0.1274418</v>
      </c>
    </row>
    <row r="28" spans="1:7" ht="12">
      <c r="A28" s="20" t="s">
        <v>36</v>
      </c>
      <c r="B28" s="29">
        <v>0.1342622</v>
      </c>
      <c r="C28" s="14">
        <v>0.1531686</v>
      </c>
      <c r="D28" s="14">
        <v>0.3039578</v>
      </c>
      <c r="E28" s="14">
        <v>-0.0948216</v>
      </c>
      <c r="F28" s="25">
        <v>-0.1699726</v>
      </c>
      <c r="G28" s="35">
        <v>0.08389727</v>
      </c>
    </row>
    <row r="29" spans="1:7" ht="12">
      <c r="A29" s="20" t="s">
        <v>37</v>
      </c>
      <c r="B29" s="29">
        <v>0.187904</v>
      </c>
      <c r="C29" s="14">
        <v>0.06047707</v>
      </c>
      <c r="D29" s="14">
        <v>0.07794743</v>
      </c>
      <c r="E29" s="14">
        <v>0.1721079</v>
      </c>
      <c r="F29" s="25">
        <v>-0.00242828</v>
      </c>
      <c r="G29" s="35">
        <v>0.1015924</v>
      </c>
    </row>
    <row r="30" spans="1:7" ht="12">
      <c r="A30" s="21" t="s">
        <v>38</v>
      </c>
      <c r="B30" s="49">
        <v>0.138284</v>
      </c>
      <c r="C30" s="50">
        <v>0.09181554</v>
      </c>
      <c r="D30" s="50">
        <v>0.1555605</v>
      </c>
      <c r="E30" s="50">
        <v>0.08527085</v>
      </c>
      <c r="F30" s="51">
        <v>0.2816648</v>
      </c>
      <c r="G30" s="37">
        <v>0.1376762</v>
      </c>
    </row>
    <row r="31" spans="1:7" ht="12">
      <c r="A31" s="20" t="s">
        <v>39</v>
      </c>
      <c r="B31" s="29">
        <v>0.005774459</v>
      </c>
      <c r="C31" s="14">
        <v>0.01989549</v>
      </c>
      <c r="D31" s="14">
        <v>0.05320636</v>
      </c>
      <c r="E31" s="14">
        <v>0.09664624</v>
      </c>
      <c r="F31" s="25">
        <v>0.01067241</v>
      </c>
      <c r="G31" s="35">
        <v>0.04310476</v>
      </c>
    </row>
    <row r="32" spans="1:7" ht="12">
      <c r="A32" s="20" t="s">
        <v>40</v>
      </c>
      <c r="B32" s="29">
        <v>0.01053267</v>
      </c>
      <c r="C32" s="14">
        <v>-0.005606227</v>
      </c>
      <c r="D32" s="14">
        <v>0.04376332</v>
      </c>
      <c r="E32" s="14">
        <v>0.01515085</v>
      </c>
      <c r="F32" s="25">
        <v>-0.020125</v>
      </c>
      <c r="G32" s="35">
        <v>0.01166444</v>
      </c>
    </row>
    <row r="33" spans="1:7" ht="12">
      <c r="A33" s="20" t="s">
        <v>41</v>
      </c>
      <c r="B33" s="29">
        <v>0.1230484</v>
      </c>
      <c r="C33" s="14">
        <v>0.06834576</v>
      </c>
      <c r="D33" s="14">
        <v>0.09435083</v>
      </c>
      <c r="E33" s="14">
        <v>0.08318732</v>
      </c>
      <c r="F33" s="25">
        <v>0.08282383</v>
      </c>
      <c r="G33" s="52">
        <v>0.08802013</v>
      </c>
    </row>
    <row r="34" spans="1:7" ht="12">
      <c r="A34" s="21" t="s">
        <v>42</v>
      </c>
      <c r="B34" s="31">
        <v>-0.000398591</v>
      </c>
      <c r="C34" s="16">
        <v>0.001200217</v>
      </c>
      <c r="D34" s="16">
        <v>0.01936299</v>
      </c>
      <c r="E34" s="16">
        <v>0.0221672</v>
      </c>
      <c r="F34" s="27">
        <v>-0.01421377</v>
      </c>
      <c r="G34" s="37">
        <v>0.008362866</v>
      </c>
    </row>
    <row r="35" spans="1:7" ht="12.75" thickBot="1">
      <c r="A35" s="22" t="s">
        <v>43</v>
      </c>
      <c r="B35" s="32">
        <v>0.003052805</v>
      </c>
      <c r="C35" s="17">
        <v>0.003667733</v>
      </c>
      <c r="D35" s="17">
        <v>4.544054E-05</v>
      </c>
      <c r="E35" s="17">
        <v>0.007719396</v>
      </c>
      <c r="F35" s="28">
        <v>-0.0004867407</v>
      </c>
      <c r="G35" s="38">
        <v>0.003128742</v>
      </c>
    </row>
    <row r="36" spans="1:7" ht="12">
      <c r="A36" s="4" t="s">
        <v>44</v>
      </c>
      <c r="B36" s="3">
        <v>21.45386</v>
      </c>
      <c r="C36" s="3">
        <v>21.45691</v>
      </c>
      <c r="D36" s="3">
        <v>21.46607</v>
      </c>
      <c r="E36" s="3">
        <v>21.46607</v>
      </c>
      <c r="F36" s="3">
        <v>21.47217</v>
      </c>
      <c r="G36" s="3"/>
    </row>
    <row r="37" spans="1:6" ht="12">
      <c r="A37" s="4" t="s">
        <v>45</v>
      </c>
      <c r="B37" s="2">
        <v>-0.3117879</v>
      </c>
      <c r="C37" s="2">
        <v>-0.281779</v>
      </c>
      <c r="D37" s="2">
        <v>-0.2888997</v>
      </c>
      <c r="E37" s="2">
        <v>-0.2588908</v>
      </c>
      <c r="F37" s="2">
        <v>-0.2421061</v>
      </c>
    </row>
    <row r="38" spans="1:7" ht="12">
      <c r="A38" s="4" t="s">
        <v>52</v>
      </c>
      <c r="B38" s="2">
        <v>1.400808E-05</v>
      </c>
      <c r="C38" s="2">
        <v>7.150309E-05</v>
      </c>
      <c r="D38" s="2">
        <v>-0.0001711026</v>
      </c>
      <c r="E38" s="2">
        <v>0.000121836</v>
      </c>
      <c r="F38" s="2">
        <v>-5.441786E-05</v>
      </c>
      <c r="G38" s="2">
        <v>7.363529E-05</v>
      </c>
    </row>
    <row r="39" spans="1:7" ht="12.75" thickBot="1">
      <c r="A39" s="4" t="s">
        <v>53</v>
      </c>
      <c r="B39" s="2">
        <v>0.0002096812</v>
      </c>
      <c r="C39" s="2">
        <v>-0.0001719678</v>
      </c>
      <c r="D39" s="2">
        <v>0</v>
      </c>
      <c r="E39" s="2">
        <v>-6.931936E-05</v>
      </c>
      <c r="F39" s="2">
        <v>0.0002212566</v>
      </c>
      <c r="G39" s="2">
        <v>0.0007881825</v>
      </c>
    </row>
    <row r="40" spans="2:5" ht="12.75" thickBot="1">
      <c r="B40" s="7" t="s">
        <v>46</v>
      </c>
      <c r="C40" s="8">
        <v>-0.003749</v>
      </c>
      <c r="D40" s="18" t="s">
        <v>47</v>
      </c>
      <c r="E40" s="9">
        <v>3.11684</v>
      </c>
    </row>
    <row r="41" spans="1:6" ht="12">
      <c r="A41" s="5" t="s">
        <v>50</v>
      </c>
      <c r="F41" s="1" t="s">
        <v>51</v>
      </c>
    </row>
    <row r="42" spans="1:6" ht="12">
      <c r="A42" s="4" t="s">
        <v>48</v>
      </c>
      <c r="B42" s="1">
        <v>10</v>
      </c>
      <c r="C42" s="1">
        <v>10</v>
      </c>
      <c r="D42" s="1">
        <v>10</v>
      </c>
      <c r="E42" s="1">
        <v>10</v>
      </c>
      <c r="F42" s="1">
        <v>10</v>
      </c>
    </row>
    <row r="43" spans="1:7" ht="12">
      <c r="A43" s="4" t="s">
        <v>49</v>
      </c>
      <c r="B43" s="1">
        <v>12.518</v>
      </c>
      <c r="C43" s="1">
        <v>12.517</v>
      </c>
      <c r="D43" s="1">
        <v>12.517</v>
      </c>
      <c r="E43" s="1">
        <v>12.517</v>
      </c>
      <c r="F43" s="1">
        <v>12.518</v>
      </c>
      <c r="G43" s="1">
        <v>12.517</v>
      </c>
    </row>
  </sheetData>
  <printOptions/>
  <pageMargins left="0.708661417322835" right="0.708661417322835" top="0.590551181102362" bottom="0.590551181102362" header="0" footer="0.511811023622047"/>
  <pageSetup orientation="portrait" paperSize="9" scale="95" r:id="rId2"/>
  <headerFooter alignWithMargins="0">
    <oddFooter>&amp;L&amp;F&amp;C&amp;J&amp;R&amp;A</oddFooter>
  </headerFooter>
  <rowBreaks count="1" manualBreakCount="1">
    <brk id="67" max="6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5"/>
  <sheetViews>
    <sheetView tabSelected="1" workbookViewId="0" topLeftCell="A1">
      <selection activeCell="A1" sqref="A1"/>
    </sheetView>
  </sheetViews>
  <sheetFormatPr defaultColWidth="9.140625" defaultRowHeight="12.75"/>
  <cols>
    <col min="1" max="1" width="80.28125" style="0" bestFit="1" customWidth="1"/>
    <col min="2" max="3" width="12.57421875" style="0" bestFit="1" customWidth="1"/>
    <col min="4" max="4" width="13.7109375" style="0" bestFit="1" customWidth="1"/>
    <col min="5" max="5" width="18.28125" style="0" bestFit="1" customWidth="1"/>
    <col min="6" max="7" width="13.140625" style="0" bestFit="1" customWidth="1"/>
    <col min="8" max="8" width="12.00390625" style="0" bestFit="1" customWidth="1"/>
    <col min="9" max="9" width="12.57421875" style="0" bestFit="1" customWidth="1"/>
    <col min="10" max="10" width="7.00390625" style="0" bestFit="1" customWidth="1"/>
    <col min="11" max="11" width="12.7109375" style="0" bestFit="1" customWidth="1"/>
  </cols>
  <sheetData>
    <row r="1" spans="1:5" ht="12.7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3" spans="1:7" ht="12.75">
      <c r="A3" t="s">
        <v>5</v>
      </c>
      <c r="B3" t="s">
        <v>6</v>
      </c>
      <c r="C3" t="s">
        <v>7</v>
      </c>
      <c r="D3" t="s">
        <v>8</v>
      </c>
      <c r="E3" t="s">
        <v>9</v>
      </c>
      <c r="F3" t="s">
        <v>10</v>
      </c>
      <c r="G3" t="s">
        <v>11</v>
      </c>
    </row>
    <row r="4" spans="1:7" ht="12.75">
      <c r="A4" t="s">
        <v>12</v>
      </c>
      <c r="B4">
        <v>0.002255</v>
      </c>
      <c r="C4">
        <v>0.003749</v>
      </c>
      <c r="D4">
        <v>0.003748</v>
      </c>
      <c r="E4">
        <v>0.00375</v>
      </c>
      <c r="F4">
        <v>0.00208</v>
      </c>
      <c r="G4">
        <v>0.011684</v>
      </c>
    </row>
    <row r="5" spans="1:7" ht="12.75">
      <c r="A5" t="s">
        <v>13</v>
      </c>
      <c r="B5">
        <v>7.895201</v>
      </c>
      <c r="C5">
        <v>1.87772</v>
      </c>
      <c r="D5">
        <v>-1.339759</v>
      </c>
      <c r="E5">
        <v>-2.537155</v>
      </c>
      <c r="F5">
        <v>-4.854982</v>
      </c>
      <c r="G5">
        <v>4.444785</v>
      </c>
    </row>
    <row r="6" spans="1:7" ht="12.75">
      <c r="A6" t="s">
        <v>14</v>
      </c>
      <c r="B6" s="53">
        <v>-6.292267</v>
      </c>
      <c r="C6" s="53">
        <v>-42.44053</v>
      </c>
      <c r="D6" s="53">
        <v>100.6614</v>
      </c>
      <c r="E6" s="53">
        <v>-71.46129</v>
      </c>
      <c r="F6" s="53">
        <v>30.7467</v>
      </c>
      <c r="G6" s="53">
        <v>-0.005537639</v>
      </c>
    </row>
    <row r="7" spans="1:7" ht="12.75">
      <c r="A7" t="s">
        <v>15</v>
      </c>
      <c r="B7" s="53">
        <v>10000</v>
      </c>
      <c r="C7" s="53">
        <v>10000</v>
      </c>
      <c r="D7" s="53">
        <v>10000</v>
      </c>
      <c r="E7" s="53">
        <v>10000</v>
      </c>
      <c r="F7" s="53">
        <v>10000</v>
      </c>
      <c r="G7" s="53">
        <v>10000</v>
      </c>
    </row>
    <row r="8" spans="1:7" ht="12.75">
      <c r="A8" t="s">
        <v>16</v>
      </c>
      <c r="B8" s="53">
        <v>1.688322</v>
      </c>
      <c r="C8" s="53">
        <v>1.727082</v>
      </c>
      <c r="D8" s="53">
        <v>2.052058</v>
      </c>
      <c r="E8" s="53">
        <v>2.039703</v>
      </c>
      <c r="F8" s="53">
        <v>-0.7072958</v>
      </c>
      <c r="G8" s="53">
        <v>1.549953</v>
      </c>
    </row>
    <row r="9" spans="1:7" ht="12.75">
      <c r="A9" t="s">
        <v>17</v>
      </c>
      <c r="B9" s="53">
        <v>0.3295608</v>
      </c>
      <c r="C9" s="53">
        <v>0.4134247</v>
      </c>
      <c r="D9" s="53">
        <v>0.5088766</v>
      </c>
      <c r="E9" s="53">
        <v>0.0820525</v>
      </c>
      <c r="F9" s="53">
        <v>-1.846273</v>
      </c>
      <c r="G9" s="53">
        <v>0.042858</v>
      </c>
    </row>
    <row r="10" spans="1:7" ht="12.75">
      <c r="A10" t="s">
        <v>18</v>
      </c>
      <c r="B10" s="53">
        <v>0.1968555</v>
      </c>
      <c r="C10" s="53">
        <v>-0.1782483</v>
      </c>
      <c r="D10" s="53">
        <v>0.2353448</v>
      </c>
      <c r="E10" s="53">
        <v>0.2498755</v>
      </c>
      <c r="F10" s="53">
        <v>-0.4810878</v>
      </c>
      <c r="G10" s="53">
        <v>0.03809018</v>
      </c>
    </row>
    <row r="11" spans="1:7" ht="12.75">
      <c r="A11" t="s">
        <v>19</v>
      </c>
      <c r="B11" s="53">
        <v>1.851952</v>
      </c>
      <c r="C11" s="53">
        <v>2.52205</v>
      </c>
      <c r="D11" s="53">
        <v>2.225948</v>
      </c>
      <c r="E11" s="53">
        <v>1.526998</v>
      </c>
      <c r="F11" s="53">
        <v>12.34041</v>
      </c>
      <c r="G11" s="53">
        <v>3.424928</v>
      </c>
    </row>
    <row r="12" spans="1:7" ht="12.75">
      <c r="A12" t="s">
        <v>20</v>
      </c>
      <c r="B12" s="53">
        <v>0.08782934</v>
      </c>
      <c r="C12" s="53">
        <v>-0.04525171</v>
      </c>
      <c r="D12" s="53">
        <v>0.2436959</v>
      </c>
      <c r="E12" s="53">
        <v>0.1987195</v>
      </c>
      <c r="F12" s="53">
        <v>0.1666491</v>
      </c>
      <c r="G12" s="53">
        <v>0.1305161</v>
      </c>
    </row>
    <row r="13" spans="1:7" ht="12.75">
      <c r="A13" t="s">
        <v>21</v>
      </c>
      <c r="B13" s="53">
        <v>-0.009993836</v>
      </c>
      <c r="C13" s="53">
        <v>-0.05281888</v>
      </c>
      <c r="D13" s="53">
        <v>-0.08839678</v>
      </c>
      <c r="E13" s="53">
        <v>-0.08081864</v>
      </c>
      <c r="F13" s="53">
        <v>-0.2404141</v>
      </c>
      <c r="G13" s="53">
        <v>-0.08694698</v>
      </c>
    </row>
    <row r="14" spans="1:7" ht="12.75">
      <c r="A14" t="s">
        <v>22</v>
      </c>
      <c r="B14" s="53">
        <v>0.002865756</v>
      </c>
      <c r="C14" s="53">
        <v>0.01434707</v>
      </c>
      <c r="D14" s="53">
        <v>-0.09355632</v>
      </c>
      <c r="E14" s="53">
        <v>0.01291143</v>
      </c>
      <c r="F14" s="53">
        <v>-0.06985071</v>
      </c>
      <c r="G14" s="53">
        <v>-0.02483894</v>
      </c>
    </row>
    <row r="15" spans="1:7" ht="12.75">
      <c r="A15" t="s">
        <v>23</v>
      </c>
      <c r="B15" s="53">
        <v>-0.526763</v>
      </c>
      <c r="C15" s="53">
        <v>-0.160791</v>
      </c>
      <c r="D15" s="53">
        <v>-0.1686981</v>
      </c>
      <c r="E15" s="53">
        <v>-0.2505285</v>
      </c>
      <c r="F15" s="53">
        <v>-0.5100578</v>
      </c>
      <c r="G15" s="53">
        <v>-0.2838521</v>
      </c>
    </row>
    <row r="16" spans="1:7" ht="12.75">
      <c r="A16" t="s">
        <v>24</v>
      </c>
      <c r="B16" s="53">
        <v>0.0144974</v>
      </c>
      <c r="C16" s="53">
        <v>-0.06085198</v>
      </c>
      <c r="D16" s="53">
        <v>0.02067185</v>
      </c>
      <c r="E16" s="53">
        <v>-0.002393243</v>
      </c>
      <c r="F16" s="53">
        <v>0.01393893</v>
      </c>
      <c r="G16" s="53">
        <v>-0.006281219</v>
      </c>
    </row>
    <row r="17" spans="1:7" ht="12.75">
      <c r="A17" t="s">
        <v>25</v>
      </c>
      <c r="B17" s="53">
        <v>-0.02044283</v>
      </c>
      <c r="C17" s="53">
        <v>-0.01396139</v>
      </c>
      <c r="D17" s="53">
        <v>-0.03104031</v>
      </c>
      <c r="E17" s="53">
        <v>-0.006956691</v>
      </c>
      <c r="F17" s="53">
        <v>-0.02306236</v>
      </c>
      <c r="G17" s="53">
        <v>-0.01853432</v>
      </c>
    </row>
    <row r="18" spans="1:7" ht="12.75">
      <c r="A18" t="s">
        <v>26</v>
      </c>
      <c r="B18" s="53">
        <v>0.005731409</v>
      </c>
      <c r="C18" s="53">
        <v>0.02166535</v>
      </c>
      <c r="D18" s="53">
        <v>-0.01176005</v>
      </c>
      <c r="E18" s="53">
        <v>0.03232726</v>
      </c>
      <c r="F18" s="53">
        <v>-0.03038067</v>
      </c>
      <c r="G18" s="53">
        <v>0.006954548</v>
      </c>
    </row>
    <row r="19" spans="1:7" ht="12.75">
      <c r="A19" t="s">
        <v>27</v>
      </c>
      <c r="B19" s="53">
        <v>-0.2101361</v>
      </c>
      <c r="C19" s="53">
        <v>-0.2000913</v>
      </c>
      <c r="D19" s="53">
        <v>-0.2009804</v>
      </c>
      <c r="E19" s="53">
        <v>-0.1853408</v>
      </c>
      <c r="F19" s="53">
        <v>-0.1637061</v>
      </c>
      <c r="G19" s="53">
        <v>-0.1933509</v>
      </c>
    </row>
    <row r="20" spans="1:7" ht="12.75">
      <c r="A20" t="s">
        <v>28</v>
      </c>
      <c r="B20" s="53">
        <v>-0.00456295</v>
      </c>
      <c r="C20" s="53">
        <v>-0.002890025</v>
      </c>
      <c r="D20" s="53">
        <v>-0.0005663843</v>
      </c>
      <c r="E20" s="53">
        <v>-0.005980935</v>
      </c>
      <c r="F20" s="53">
        <v>-0.002872557</v>
      </c>
      <c r="G20" s="53">
        <v>-0.003314136</v>
      </c>
    </row>
    <row r="21" spans="1:7" ht="12.75">
      <c r="A21" t="s">
        <v>29</v>
      </c>
      <c r="B21" s="53">
        <v>-123.472</v>
      </c>
      <c r="C21" s="53">
        <v>100.9996</v>
      </c>
      <c r="D21" s="53">
        <v>4.519682</v>
      </c>
      <c r="E21" s="53">
        <v>41.13977</v>
      </c>
      <c r="F21" s="53">
        <v>-130.4617</v>
      </c>
      <c r="G21" s="53">
        <v>0.008387049</v>
      </c>
    </row>
    <row r="22" spans="1:7" ht="12.75">
      <c r="A22" t="s">
        <v>30</v>
      </c>
      <c r="B22" s="53">
        <v>157.9171</v>
      </c>
      <c r="C22" s="53">
        <v>37.55459</v>
      </c>
      <c r="D22" s="53">
        <v>-26.79525</v>
      </c>
      <c r="E22" s="53">
        <v>-50.74353</v>
      </c>
      <c r="F22" s="53">
        <v>-97.10269</v>
      </c>
      <c r="G22" s="53">
        <v>0</v>
      </c>
    </row>
    <row r="23" spans="1:7" ht="12.75">
      <c r="A23" t="s">
        <v>31</v>
      </c>
      <c r="B23" s="53">
        <v>-2.23531</v>
      </c>
      <c r="C23" s="53">
        <v>1.547149</v>
      </c>
      <c r="D23" s="53">
        <v>-0.1256793</v>
      </c>
      <c r="E23" s="53">
        <v>-1.237873</v>
      </c>
      <c r="F23" s="53">
        <v>3.55578</v>
      </c>
      <c r="G23" s="53">
        <v>0.1951881</v>
      </c>
    </row>
    <row r="24" spans="1:7" ht="12.75">
      <c r="A24" t="s">
        <v>32</v>
      </c>
      <c r="B24" s="53">
        <v>1.043477</v>
      </c>
      <c r="C24" s="53">
        <v>0.1407194</v>
      </c>
      <c r="D24" s="53">
        <v>-0.01475585</v>
      </c>
      <c r="E24" s="53">
        <v>-2.313048</v>
      </c>
      <c r="F24" s="53">
        <v>-1.041818</v>
      </c>
      <c r="G24" s="53">
        <v>-0.5143974</v>
      </c>
    </row>
    <row r="25" spans="1:7" ht="12.75">
      <c r="A25" t="s">
        <v>33</v>
      </c>
      <c r="B25" s="53">
        <v>-0.9427681</v>
      </c>
      <c r="C25" s="53">
        <v>0.1652613</v>
      </c>
      <c r="D25" s="53">
        <v>-0.4007831</v>
      </c>
      <c r="E25" s="53">
        <v>-0.4186705</v>
      </c>
      <c r="F25" s="53">
        <v>-1.818268</v>
      </c>
      <c r="G25" s="53">
        <v>-0.5365218</v>
      </c>
    </row>
    <row r="26" spans="1:7" ht="12.75">
      <c r="A26" t="s">
        <v>34</v>
      </c>
      <c r="B26" s="53">
        <v>1.470934</v>
      </c>
      <c r="C26" s="53">
        <v>0.06764032</v>
      </c>
      <c r="D26" s="53">
        <v>0.3282578</v>
      </c>
      <c r="E26" s="53">
        <v>0.4689789</v>
      </c>
      <c r="F26" s="53">
        <v>1.068434</v>
      </c>
      <c r="G26" s="53">
        <v>0.5632963</v>
      </c>
    </row>
    <row r="27" spans="1:7" ht="12.75">
      <c r="A27" t="s">
        <v>35</v>
      </c>
      <c r="B27" s="53">
        <v>-0.06034203</v>
      </c>
      <c r="C27" s="53">
        <v>0.04423828</v>
      </c>
      <c r="D27" s="53">
        <v>0.266527</v>
      </c>
      <c r="E27" s="53">
        <v>0.1397467</v>
      </c>
      <c r="F27" s="53">
        <v>0.2083166</v>
      </c>
      <c r="G27" s="53">
        <v>0.1274418</v>
      </c>
    </row>
    <row r="28" spans="1:7" ht="12.75">
      <c r="A28" t="s">
        <v>36</v>
      </c>
      <c r="B28" s="53">
        <v>0.1342622</v>
      </c>
      <c r="C28" s="53">
        <v>0.1531686</v>
      </c>
      <c r="D28" s="53">
        <v>0.3039578</v>
      </c>
      <c r="E28" s="53">
        <v>-0.0948216</v>
      </c>
      <c r="F28" s="53">
        <v>-0.1699726</v>
      </c>
      <c r="G28" s="53">
        <v>0.08389727</v>
      </c>
    </row>
    <row r="29" spans="1:7" ht="12.75">
      <c r="A29" t="s">
        <v>37</v>
      </c>
      <c r="B29" s="53">
        <v>0.187904</v>
      </c>
      <c r="C29" s="53">
        <v>0.06047707</v>
      </c>
      <c r="D29" s="53">
        <v>0.07794743</v>
      </c>
      <c r="E29" s="53">
        <v>0.1721079</v>
      </c>
      <c r="F29" s="53">
        <v>-0.00242828</v>
      </c>
      <c r="G29" s="53">
        <v>0.1015924</v>
      </c>
    </row>
    <row r="30" spans="1:7" ht="12.75">
      <c r="A30" t="s">
        <v>38</v>
      </c>
      <c r="B30" s="53">
        <v>0.138284</v>
      </c>
      <c r="C30" s="53">
        <v>0.09181554</v>
      </c>
      <c r="D30" s="53">
        <v>0.1555605</v>
      </c>
      <c r="E30" s="53">
        <v>0.08527085</v>
      </c>
      <c r="F30" s="53">
        <v>0.2816648</v>
      </c>
      <c r="G30" s="53">
        <v>0.1376762</v>
      </c>
    </row>
    <row r="31" spans="1:7" ht="12.75">
      <c r="A31" t="s">
        <v>39</v>
      </c>
      <c r="B31" s="53">
        <v>0.005774459</v>
      </c>
      <c r="C31" s="53">
        <v>0.01989549</v>
      </c>
      <c r="D31" s="53">
        <v>0.05320636</v>
      </c>
      <c r="E31" s="53">
        <v>0.09664624</v>
      </c>
      <c r="F31" s="53">
        <v>0.01067241</v>
      </c>
      <c r="G31" s="53">
        <v>0.04310476</v>
      </c>
    </row>
    <row r="32" spans="1:7" ht="12.75">
      <c r="A32" t="s">
        <v>40</v>
      </c>
      <c r="B32" s="53">
        <v>0.01053267</v>
      </c>
      <c r="C32" s="53">
        <v>-0.005606227</v>
      </c>
      <c r="D32" s="53">
        <v>0.04376332</v>
      </c>
      <c r="E32" s="53">
        <v>0.01515085</v>
      </c>
      <c r="F32" s="53">
        <v>-0.020125</v>
      </c>
      <c r="G32" s="53">
        <v>0.01166444</v>
      </c>
    </row>
    <row r="33" spans="1:7" ht="12.75">
      <c r="A33" t="s">
        <v>41</v>
      </c>
      <c r="B33" s="53">
        <v>0.1230484</v>
      </c>
      <c r="C33" s="53">
        <v>0.06834576</v>
      </c>
      <c r="D33" s="53">
        <v>0.09435083</v>
      </c>
      <c r="E33" s="53">
        <v>0.08318732</v>
      </c>
      <c r="F33" s="53">
        <v>0.08282383</v>
      </c>
      <c r="G33" s="53">
        <v>0.08802013</v>
      </c>
    </row>
    <row r="34" spans="1:7" ht="12.75">
      <c r="A34" t="s">
        <v>42</v>
      </c>
      <c r="B34" s="53">
        <v>-0.000398591</v>
      </c>
      <c r="C34" s="53">
        <v>0.001200217</v>
      </c>
      <c r="D34" s="53">
        <v>0.01936299</v>
      </c>
      <c r="E34" s="53">
        <v>0.0221672</v>
      </c>
      <c r="F34" s="53">
        <v>-0.01421377</v>
      </c>
      <c r="G34" s="53">
        <v>0.008362866</v>
      </c>
    </row>
    <row r="35" spans="1:7" ht="12.75">
      <c r="A35" t="s">
        <v>43</v>
      </c>
      <c r="B35" s="53">
        <v>0.003052805</v>
      </c>
      <c r="C35" s="53">
        <v>0.003667733</v>
      </c>
      <c r="D35" s="53">
        <v>4.544054E-05</v>
      </c>
      <c r="E35" s="53">
        <v>0.007719396</v>
      </c>
      <c r="F35" s="53">
        <v>-0.0004867407</v>
      </c>
      <c r="G35" s="53">
        <v>0.003128742</v>
      </c>
    </row>
    <row r="36" spans="1:6" ht="12.75">
      <c r="A36" t="s">
        <v>44</v>
      </c>
      <c r="B36" s="53">
        <v>21.45386</v>
      </c>
      <c r="C36" s="53">
        <v>21.45691</v>
      </c>
      <c r="D36" s="53">
        <v>21.46607</v>
      </c>
      <c r="E36" s="53">
        <v>21.46607</v>
      </c>
      <c r="F36" s="53">
        <v>21.47217</v>
      </c>
    </row>
    <row r="37" spans="1:6" ht="12.75">
      <c r="A37" t="s">
        <v>45</v>
      </c>
      <c r="B37" s="53">
        <v>-0.3117879</v>
      </c>
      <c r="C37" s="53">
        <v>-0.281779</v>
      </c>
      <c r="D37" s="53">
        <v>-0.2888997</v>
      </c>
      <c r="E37" s="53">
        <v>-0.2588908</v>
      </c>
      <c r="F37" s="53">
        <v>-0.2421061</v>
      </c>
    </row>
    <row r="38" spans="1:7" ht="12.75">
      <c r="A38" t="s">
        <v>54</v>
      </c>
      <c r="B38" s="53">
        <v>1.400808E-05</v>
      </c>
      <c r="C38" s="53">
        <v>7.150309E-05</v>
      </c>
      <c r="D38" s="53">
        <v>-0.0001711026</v>
      </c>
      <c r="E38" s="53">
        <v>0.000121836</v>
      </c>
      <c r="F38" s="53">
        <v>-5.441786E-05</v>
      </c>
      <c r="G38" s="53">
        <v>7.363529E-05</v>
      </c>
    </row>
    <row r="39" spans="1:7" ht="12.75">
      <c r="A39" t="s">
        <v>55</v>
      </c>
      <c r="B39" s="53">
        <v>0.0002096812</v>
      </c>
      <c r="C39" s="53">
        <v>-0.0001719678</v>
      </c>
      <c r="D39" s="53">
        <v>0</v>
      </c>
      <c r="E39" s="53">
        <v>-6.931936E-05</v>
      </c>
      <c r="F39" s="53">
        <v>0.0002212566</v>
      </c>
      <c r="G39" s="53">
        <v>0.0007881825</v>
      </c>
    </row>
    <row r="40" spans="2:5" ht="12.75">
      <c r="B40" t="s">
        <v>46</v>
      </c>
      <c r="C40">
        <v>-0.003749</v>
      </c>
      <c r="D40" t="s">
        <v>47</v>
      </c>
      <c r="E40">
        <v>3.11684</v>
      </c>
    </row>
    <row r="42" ht="12.75">
      <c r="A42" t="s">
        <v>56</v>
      </c>
    </row>
    <row r="43" spans="1:6" ht="12.75">
      <c r="A43" t="s">
        <v>48</v>
      </c>
      <c r="B43">
        <v>10</v>
      </c>
      <c r="C43">
        <v>10</v>
      </c>
      <c r="D43">
        <v>10</v>
      </c>
      <c r="E43">
        <v>10</v>
      </c>
      <c r="F43">
        <v>10</v>
      </c>
    </row>
    <row r="44" spans="1:10" ht="12.75">
      <c r="A44" t="s">
        <v>49</v>
      </c>
      <c r="B44">
        <v>12.518</v>
      </c>
      <c r="C44">
        <v>12.517</v>
      </c>
      <c r="D44">
        <v>12.517</v>
      </c>
      <c r="E44">
        <v>12.517</v>
      </c>
      <c r="F44">
        <v>12.518</v>
      </c>
      <c r="J44">
        <v>12.517</v>
      </c>
    </row>
    <row r="50" spans="1:7" ht="12.75">
      <c r="A50" t="s">
        <v>57</v>
      </c>
      <c r="B50">
        <f>-0.017/(B7*B7+B22*B22)*(B21*B22+B6*B7)</f>
        <v>1.4008078421056533E-05</v>
      </c>
      <c r="C50">
        <f>-0.017/(C7*C7+C22*C22)*(C21*C22+C6*C7)</f>
        <v>7.150308280166443E-05</v>
      </c>
      <c r="D50">
        <f>-0.017/(D7*D7+D22*D22)*(D21*D22+D6*D7)</f>
        <v>-0.00017110256348698777</v>
      </c>
      <c r="E50">
        <f>-0.017/(E7*E7+E22*E22)*(E21*E22+E6*E7)</f>
        <v>0.00012183594395520968</v>
      </c>
      <c r="F50">
        <f>-0.017/(F7*F7+F22*F22)*(F21*F22+F6*F7)</f>
        <v>-5.4417849919750096E-05</v>
      </c>
      <c r="G50">
        <f>(B50*B$4+C50*C$4+D50*D$4+E50*E$4+F50*F$4)/SUM(B$4:F$4)</f>
        <v>1.3198102378695478E-07</v>
      </c>
    </row>
    <row r="51" spans="1:7" ht="12.75">
      <c r="A51" t="s">
        <v>58</v>
      </c>
      <c r="B51">
        <f>-0.017/(B7*B7+B22*B22)*(B21*B7-B6*B22)</f>
        <v>0.00020968118848791744</v>
      </c>
      <c r="C51">
        <f>-0.017/(C7*C7+C22*C22)*(C21*C7-C6*C22)</f>
        <v>-0.00017196784689583528</v>
      </c>
      <c r="D51">
        <f>-0.017/(D7*D7+D22*D22)*(D21*D7-D6*D22)</f>
        <v>-8.141932996427474E-06</v>
      </c>
      <c r="E51">
        <f>-0.017/(E7*E7+E22*E22)*(E21*E7-E6*E22)</f>
        <v>-6.931937041228306E-05</v>
      </c>
      <c r="F51">
        <f>-0.017/(F7*F7+F22*F22)*(F21*F7-F6*F22)</f>
        <v>0.00022125647803887763</v>
      </c>
      <c r="G51">
        <f>(B51*B$4+C51*C$4+D51*D$4+E51*E$4+F51*F$4)/SUM(B$4:F$4)</f>
        <v>-1.364720554510904E-07</v>
      </c>
    </row>
    <row r="58" ht="12.75">
      <c r="A58" t="s">
        <v>60</v>
      </c>
    </row>
    <row r="60" spans="2:6" ht="12.75">
      <c r="B60" t="s">
        <v>6</v>
      </c>
      <c r="C60" t="s">
        <v>7</v>
      </c>
      <c r="D60" t="s">
        <v>8</v>
      </c>
      <c r="E60" t="s">
        <v>9</v>
      </c>
      <c r="F60" t="s">
        <v>10</v>
      </c>
    </row>
    <row r="61" spans="1:6" ht="12.75">
      <c r="A61" t="s">
        <v>62</v>
      </c>
      <c r="B61">
        <f>B6+(1/0.017)*(B7*B50-B22*B51)</f>
        <v>0</v>
      </c>
      <c r="C61">
        <f>C6+(1/0.017)*(C7*C50-C22*C51)</f>
        <v>0</v>
      </c>
      <c r="D61">
        <f>D6+(1/0.017)*(D7*D50-D22*D51)</f>
        <v>0</v>
      </c>
      <c r="E61">
        <f>E6+(1/0.017)*(E7*E50-E22*E51)</f>
        <v>0</v>
      </c>
      <c r="F61">
        <f>F6+(1/0.017)*(F7*F50-F22*F51)</f>
        <v>0</v>
      </c>
    </row>
    <row r="62" spans="1:6" ht="12.75">
      <c r="A62" t="s">
        <v>65</v>
      </c>
      <c r="B62">
        <f>B7+(2/0.017)*(B8*B50-B23*B51)</f>
        <v>10000.057923835813</v>
      </c>
      <c r="C62">
        <f>C7+(2/0.017)*(C8*C50-C23*C51)</f>
        <v>10000.045829596425</v>
      </c>
      <c r="D62">
        <f>D7+(2/0.017)*(D8*D50-D23*D51)</f>
        <v>9999.958572275687</v>
      </c>
      <c r="E62">
        <f>E7+(2/0.017)*(E8*E50-E23*E51)</f>
        <v>10000.01914124275</v>
      </c>
      <c r="F62">
        <f>F7+(2/0.017)*(F8*F50-F23*F51)</f>
        <v>9999.91197060673</v>
      </c>
    </row>
    <row r="63" spans="1:6" ht="12.75">
      <c r="A63" t="s">
        <v>66</v>
      </c>
      <c r="B63">
        <f>B8+(3/0.017)*(B9*B50-B24*B51)</f>
        <v>1.6505253557666648</v>
      </c>
      <c r="C63">
        <f>C8+(3/0.017)*(C9*C50-C24*C51)</f>
        <v>1.7365691210807341</v>
      </c>
      <c r="D63">
        <f>D8+(3/0.017)*(D9*D50-D24*D51)</f>
        <v>2.036671488488139</v>
      </c>
      <c r="E63">
        <f>E8+(3/0.017)*(E9*E50-E24*E51)</f>
        <v>2.013172043417293</v>
      </c>
      <c r="F63">
        <f>F8+(3/0.017)*(F9*F50-F24*F51)</f>
        <v>-0.6488877079184011</v>
      </c>
    </row>
    <row r="64" spans="1:6" ht="12.75">
      <c r="A64" t="s">
        <v>67</v>
      </c>
      <c r="B64">
        <f>B9+(4/0.017)*(B10*B50-B25*B51)</f>
        <v>0.3767227536372028</v>
      </c>
      <c r="C64">
        <f>C9+(4/0.017)*(C10*C50-C25*C51)</f>
        <v>0.4171127769369531</v>
      </c>
      <c r="D64">
        <f>D9+(4/0.017)*(D10*D50-D25*D51)</f>
        <v>0.4986339534753805</v>
      </c>
      <c r="E64">
        <f>E9+(4/0.017)*(E10*E50-E25*E51)</f>
        <v>0.08238705104554923</v>
      </c>
      <c r="F64">
        <f>F9+(4/0.017)*(F10*F50-F25*F51)</f>
        <v>-1.745453391174255</v>
      </c>
    </row>
    <row r="65" spans="1:6" ht="12.75">
      <c r="A65" t="s">
        <v>68</v>
      </c>
      <c r="B65">
        <f>B10+(5/0.017)*(B11*B50-B26*B51)</f>
        <v>0.11377170574727828</v>
      </c>
      <c r="C65">
        <f>C10+(5/0.017)*(C11*C50-C26*C51)</f>
        <v>-0.12178762053715203</v>
      </c>
      <c r="D65">
        <f>D10+(5/0.017)*(D11*D50-D26*D51)</f>
        <v>0.12411163647777095</v>
      </c>
      <c r="E65">
        <f>E10+(5/0.017)*(E11*E50-E26*E51)</f>
        <v>0.3141556661271654</v>
      </c>
      <c r="F65">
        <f>F10+(5/0.017)*(F11*F50-F26*F51)</f>
        <v>-0.7481279538779922</v>
      </c>
    </row>
    <row r="66" spans="1:6" ht="12.75">
      <c r="A66" t="s">
        <v>69</v>
      </c>
      <c r="B66">
        <f>B11+(6/0.017)*(B12*B50-B27*B51)</f>
        <v>1.8568518501818458</v>
      </c>
      <c r="C66">
        <f>C11+(6/0.017)*(C12*C50-C27*C51)</f>
        <v>2.523593032351151</v>
      </c>
      <c r="D66">
        <f>D11+(6/0.017)*(D12*D50-D27*D51)</f>
        <v>2.2119973123909893</v>
      </c>
      <c r="E66">
        <f>E11+(6/0.017)*(E12*E50-E27*E51)</f>
        <v>1.5389621168680006</v>
      </c>
      <c r="F66">
        <f>F11+(6/0.017)*(F12*F50-F27*F51)</f>
        <v>12.32094173543079</v>
      </c>
    </row>
    <row r="67" spans="1:6" ht="12.75">
      <c r="A67" t="s">
        <v>70</v>
      </c>
      <c r="B67">
        <f>B12+(7/0.017)*(B13*B50-B28*B51)</f>
        <v>0.07617958913388685</v>
      </c>
      <c r="C67">
        <f>C12+(7/0.017)*(C13*C50-C28*C51)</f>
        <v>-0.03596091404544542</v>
      </c>
      <c r="D67">
        <f>D12+(7/0.017)*(D13*D50-D28*D51)</f>
        <v>0.2509428434072563</v>
      </c>
      <c r="E67">
        <f>E12+(7/0.017)*(E13*E50-E28*E51)</f>
        <v>0.1919584928029746</v>
      </c>
      <c r="F67">
        <f>F12+(7/0.017)*(F13*F50-F28*F51)</f>
        <v>0.18752160004473642</v>
      </c>
    </row>
    <row r="68" spans="1:6" ht="12.75">
      <c r="A68" t="s">
        <v>71</v>
      </c>
      <c r="B68">
        <f>B13+(8/0.017)*(B14*B50-B29*B51)</f>
        <v>-0.028516090262047072</v>
      </c>
      <c r="C68">
        <f>C13+(8/0.017)*(C14*C50-C29*C51)</f>
        <v>-0.04744195235358118</v>
      </c>
      <c r="D68">
        <f>D13+(8/0.017)*(D14*D50-D29*D51)</f>
        <v>-0.08056507697189992</v>
      </c>
      <c r="E68">
        <f>E13+(8/0.017)*(E14*E50-E29*E51)</f>
        <v>-0.07446405763160387</v>
      </c>
      <c r="F68">
        <f>F13+(8/0.017)*(F14*F50-F29*F51)</f>
        <v>-0.23837250087808928</v>
      </c>
    </row>
    <row r="69" spans="1:6" ht="12.75">
      <c r="A69" t="s">
        <v>72</v>
      </c>
      <c r="B69">
        <f>B14+(9/0.017)*(B15*B50-B30*B51)</f>
        <v>-0.016391327408209855</v>
      </c>
      <c r="C69">
        <f>C14+(9/0.017)*(C15*C50-C30*C51)</f>
        <v>0.01661944746162024</v>
      </c>
      <c r="D69">
        <f>D14+(9/0.017)*(D15*D50-D30*D51)</f>
        <v>-0.07760448677650149</v>
      </c>
      <c r="E69">
        <f>E14+(9/0.017)*(E15*E50-E30*E51)</f>
        <v>-0.00011869304929192082</v>
      </c>
      <c r="F69">
        <f>F14+(9/0.017)*(F15*F50-F30*F51)</f>
        <v>-0.08814925208367896</v>
      </c>
    </row>
    <row r="70" spans="1:6" ht="12.75">
      <c r="A70" t="s">
        <v>73</v>
      </c>
      <c r="B70">
        <f>B15+(10/0.017)*(B16*B50-B31*B51)</f>
        <v>-0.5273557733587607</v>
      </c>
      <c r="C70">
        <f>C15+(10/0.017)*(C16*C50-C31*C51)</f>
        <v>-0.1613378938743221</v>
      </c>
      <c r="D70">
        <f>D15+(10/0.017)*(D16*D50-D31*D51)</f>
        <v>-0.1705238670052439</v>
      </c>
      <c r="E70">
        <f>E15+(10/0.017)*(E16*E50-E31*E51)</f>
        <v>-0.2467591626532381</v>
      </c>
      <c r="F70">
        <f>F15+(10/0.017)*(F16*F50-F31*F51)</f>
        <v>-0.5118930155585699</v>
      </c>
    </row>
    <row r="71" spans="1:6" ht="12.75">
      <c r="A71" t="s">
        <v>74</v>
      </c>
      <c r="B71">
        <f>B16+(11/0.017)*(B17*B50-B32*B51)</f>
        <v>0.012883073951603943</v>
      </c>
      <c r="C71">
        <f>C16+(11/0.017)*(C17*C50-C32*C51)</f>
        <v>-0.0621217509016207</v>
      </c>
      <c r="D71">
        <f>D16+(11/0.017)*(D17*D50-D32*D51)</f>
        <v>0.024338987702781877</v>
      </c>
      <c r="E71">
        <f>E16+(11/0.017)*(E17*E50-E32*E51)</f>
        <v>-0.0022621020557274415</v>
      </c>
      <c r="F71">
        <f>F16+(11/0.017)*(F17*F50-F32*F51)</f>
        <v>0.01763220631316966</v>
      </c>
    </row>
    <row r="72" spans="1:6" ht="12.75">
      <c r="A72" t="s">
        <v>75</v>
      </c>
      <c r="B72">
        <f>B17+(12/0.017)*(B18*B50-B33*B51)</f>
        <v>-0.03859858204244812</v>
      </c>
      <c r="C72">
        <f>C17+(12/0.017)*(C18*C50-C33*C51)</f>
        <v>-0.004571451760021264</v>
      </c>
      <c r="D72">
        <f>D17+(12/0.017)*(D18*D50-D33*D51)</f>
        <v>-0.029077693879233552</v>
      </c>
      <c r="E72">
        <f>E17+(12/0.017)*(E18*E50-E33*E51)</f>
        <v>-0.0001060216685148602</v>
      </c>
      <c r="F72">
        <f>F17+(12/0.017)*(F18*F50-F33*F51)</f>
        <v>-0.034830871658566555</v>
      </c>
    </row>
    <row r="73" spans="1:6" ht="12.75">
      <c r="A73" t="s">
        <v>76</v>
      </c>
      <c r="B73">
        <f>B18+(13/0.017)*(B19*B50-B34*B51)</f>
        <v>0.0035443303451278196</v>
      </c>
      <c r="C73">
        <f>C18+(13/0.017)*(C19*C50-C34*C51)</f>
        <v>0.010882426543503902</v>
      </c>
      <c r="D73">
        <f>D18+(13/0.017)*(D19*D50-D34*D51)</f>
        <v>0.01465741350775288</v>
      </c>
      <c r="E73">
        <f>E18+(13/0.017)*(E19*E50-E34*E51)</f>
        <v>0.016234365020180153</v>
      </c>
      <c r="F73">
        <f>F18+(13/0.017)*(F19*F50-F34*F51)</f>
        <v>-0.021163346781304153</v>
      </c>
    </row>
    <row r="74" spans="1:6" ht="12.75">
      <c r="A74" t="s">
        <v>77</v>
      </c>
      <c r="B74">
        <f>B19+(14/0.017)*(B20*B50-B35*B51)</f>
        <v>-0.21071589265816146</v>
      </c>
      <c r="C74">
        <f>C19+(14/0.017)*(C20*C50-C35*C51)</f>
        <v>-0.19974205233519124</v>
      </c>
      <c r="D74">
        <f>D19+(14/0.017)*(D20*D50-D35*D51)</f>
        <v>-0.2009002872404276</v>
      </c>
      <c r="E74">
        <f>E19+(14/0.017)*(E20*E50-E35*E51)</f>
        <v>-0.1855002263924043</v>
      </c>
      <c r="F74">
        <f>F19+(14/0.017)*(F20*F50-F35*F51)</f>
        <v>-0.16348867760459002</v>
      </c>
    </row>
    <row r="75" spans="1:6" ht="12.75">
      <c r="A75" t="s">
        <v>78</v>
      </c>
      <c r="B75" s="53">
        <f>B20</f>
        <v>-0.00456295</v>
      </c>
      <c r="C75" s="53">
        <f>C20</f>
        <v>-0.002890025</v>
      </c>
      <c r="D75" s="53">
        <f>D20</f>
        <v>-0.0005663843</v>
      </c>
      <c r="E75" s="53">
        <f>E20</f>
        <v>-0.005980935</v>
      </c>
      <c r="F75" s="53">
        <f>F20</f>
        <v>-0.002872557</v>
      </c>
    </row>
    <row r="78" ht="12.75">
      <c r="A78" t="s">
        <v>60</v>
      </c>
    </row>
    <row r="80" spans="2:6" ht="12.75">
      <c r="B80" t="s">
        <v>6</v>
      </c>
      <c r="C80" t="s">
        <v>7</v>
      </c>
      <c r="D80" t="s">
        <v>8</v>
      </c>
      <c r="E80" t="s">
        <v>9</v>
      </c>
      <c r="F80" t="s">
        <v>10</v>
      </c>
    </row>
    <row r="81" spans="1:6" ht="12.75">
      <c r="A81" t="s">
        <v>79</v>
      </c>
      <c r="B81">
        <f>B21+(1/0.017)*(B7*B51+B22*B50)</f>
        <v>0</v>
      </c>
      <c r="C81">
        <f>C21+(1/0.017)*(C7*C51+C22*C50)</f>
        <v>0</v>
      </c>
      <c r="D81">
        <f>D21+(1/0.017)*(D7*D51+D22*D50)</f>
        <v>0</v>
      </c>
      <c r="E81">
        <f>E21+(1/0.017)*(E7*E51+E22*E50)</f>
        <v>0</v>
      </c>
      <c r="F81">
        <f>F21+(1/0.017)*(F7*F51+F22*F50)</f>
        <v>0</v>
      </c>
    </row>
    <row r="82" spans="1:6" ht="12.75">
      <c r="A82" t="s">
        <v>80</v>
      </c>
      <c r="B82">
        <f>B22+(2/0.017)*(B8*B51+B23*B50)</f>
        <v>157.95506434890999</v>
      </c>
      <c r="C82">
        <f>C22+(2/0.017)*(C8*C51+C23*C50)</f>
        <v>37.53266333530599</v>
      </c>
      <c r="D82">
        <f>D22+(2/0.017)*(D8*D51+D23*D50)</f>
        <v>-26.794685725686296</v>
      </c>
      <c r="E82">
        <f>E22+(2/0.017)*(E8*E51+E23*E50)</f>
        <v>-50.77790745332232</v>
      </c>
      <c r="F82">
        <f>F22+(2/0.017)*(F8*F51+F23*F50)</f>
        <v>-97.14386549176791</v>
      </c>
    </row>
    <row r="83" spans="1:6" ht="12.75">
      <c r="A83" t="s">
        <v>81</v>
      </c>
      <c r="B83">
        <f>B23+(3/0.017)*(B9*B51+B24*B50)</f>
        <v>-2.2205359162583065</v>
      </c>
      <c r="C83">
        <f>C23+(3/0.017)*(C9*C51+C24*C50)</f>
        <v>1.5363783144819019</v>
      </c>
      <c r="D83">
        <f>D23+(3/0.017)*(D9*D51+D24*D50)</f>
        <v>-0.12596491330927417</v>
      </c>
      <c r="E83">
        <f>E23+(3/0.017)*(E9*E51+E24*E50)</f>
        <v>-1.288608331906082</v>
      </c>
      <c r="F83">
        <f>F23+(3/0.017)*(F9*F51+F24*F50)</f>
        <v>3.4936965236628392</v>
      </c>
    </row>
    <row r="84" spans="1:6" ht="12.75">
      <c r="A84" t="s">
        <v>82</v>
      </c>
      <c r="B84">
        <f>B24+(4/0.017)*(B10*B51+B25*B50)</f>
        <v>1.0500818295818148</v>
      </c>
      <c r="C84">
        <f>C24+(4/0.017)*(C10*C51+C25*C50)</f>
        <v>0.15071226324274203</v>
      </c>
      <c r="D84">
        <f>D24+(4/0.017)*(D10*D51+D25*D50)</f>
        <v>0.0009285862869656773</v>
      </c>
      <c r="E84">
        <f>E24+(4/0.017)*(E10*E51+E25*E50)</f>
        <v>-2.3291257242153307</v>
      </c>
      <c r="F84">
        <f>F24+(4/0.017)*(F10*F51+F25*F50)</f>
        <v>-1.0435821310864912</v>
      </c>
    </row>
    <row r="85" spans="1:6" ht="12.75">
      <c r="A85" t="s">
        <v>83</v>
      </c>
      <c r="B85">
        <f>B25+(5/0.017)*(B11*B51+B26*B50)</f>
        <v>-0.8224962014097723</v>
      </c>
      <c r="C85">
        <f>C25+(5/0.017)*(C11*C51+C26*C50)</f>
        <v>0.0391215891582499</v>
      </c>
      <c r="D85">
        <f>D25+(5/0.017)*(D11*D51+D26*D50)</f>
        <v>-0.4226328854512149</v>
      </c>
      <c r="E85">
        <f>E25+(5/0.017)*(E11*E51+E26*E50)</f>
        <v>-0.4329975744130116</v>
      </c>
      <c r="F85">
        <f>F25+(5/0.017)*(F11*F51+F26*F50)</f>
        <v>-1.0323110079133566</v>
      </c>
    </row>
    <row r="86" spans="1:6" ht="12.75">
      <c r="A86" t="s">
        <v>84</v>
      </c>
      <c r="B86">
        <f>B26+(6/0.017)*(B12*B51+B27*B50)</f>
        <v>1.4771354886495236</v>
      </c>
      <c r="C86">
        <f>C26+(6/0.017)*(C12*C51+C27*C50)</f>
        <v>0.07150326560055223</v>
      </c>
      <c r="D86">
        <f>D26+(6/0.017)*(D12*D51+D27*D50)</f>
        <v>0.31146217342548216</v>
      </c>
      <c r="E86">
        <f>E26+(6/0.017)*(E12*E51+E27*E50)</f>
        <v>0.47012633311075824</v>
      </c>
      <c r="F86">
        <f>F26+(6/0.017)*(F12*F51+F27*F50)</f>
        <v>1.07744672404462</v>
      </c>
    </row>
    <row r="87" spans="1:6" ht="12.75">
      <c r="A87" t="s">
        <v>85</v>
      </c>
      <c r="B87">
        <f>B27+(7/0.017)*(B13*B51+B28*B50)</f>
        <v>-0.06043046222847931</v>
      </c>
      <c r="C87">
        <f>C27+(7/0.017)*(C13*C51+C28*C50)</f>
        <v>0.0524880584177795</v>
      </c>
      <c r="D87">
        <f>D27+(7/0.017)*(D13*D51+D28*D50)</f>
        <v>0.24540831371858612</v>
      </c>
      <c r="E87">
        <f>E27+(7/0.017)*(E13*E51+E28*E50)</f>
        <v>0.13729654274666092</v>
      </c>
      <c r="F87">
        <f>F27+(7/0.017)*(F13*F51+F28*F50)</f>
        <v>0.19022216263545189</v>
      </c>
    </row>
    <row r="88" spans="1:6" ht="12.75">
      <c r="A88" t="s">
        <v>86</v>
      </c>
      <c r="B88">
        <f>B28+(8/0.017)*(B14*B51+B29*B50)</f>
        <v>0.1357836442784125</v>
      </c>
      <c r="C88">
        <f>C28+(8/0.017)*(C14*C51+C29*C50)</f>
        <v>0.15404251162665797</v>
      </c>
      <c r="D88">
        <f>D28+(8/0.017)*(D14*D51+D29*D50)</f>
        <v>0.29804002315228695</v>
      </c>
      <c r="E88">
        <f>E28+(8/0.017)*(E14*E51+E29*E50)</f>
        <v>-0.08537505117179926</v>
      </c>
      <c r="F88">
        <f>F28+(8/0.017)*(F14*F51+F29*F50)</f>
        <v>-0.17718332014424087</v>
      </c>
    </row>
    <row r="89" spans="1:6" ht="12.75">
      <c r="A89" t="s">
        <v>87</v>
      </c>
      <c r="B89">
        <f>B29+(9/0.017)*(B15*B51+B30*B50)</f>
        <v>0.13045477711907344</v>
      </c>
      <c r="C89">
        <f>C29+(9/0.017)*(C15*C51+C30*C50)</f>
        <v>0.07859141035670295</v>
      </c>
      <c r="D89">
        <f>D29+(9/0.017)*(D15*D51+D30*D50)</f>
        <v>0.06458334498209198</v>
      </c>
      <c r="E89">
        <f>E29+(9/0.017)*(E15*E51+E30*E50)</f>
        <v>0.18680200538397182</v>
      </c>
      <c r="F89">
        <f>F29+(9/0.017)*(F15*F51+F30*F50)</f>
        <v>-0.07028890747911834</v>
      </c>
    </row>
    <row r="90" spans="1:6" ht="12.75">
      <c r="A90" t="s">
        <v>88</v>
      </c>
      <c r="B90">
        <f>B30+(10/0.017)*(B16*B51+B31*B50)</f>
        <v>0.1401197183155858</v>
      </c>
      <c r="C90">
        <f>C30+(10/0.017)*(C16*C51+C31*C50)</f>
        <v>0.09880799461694006</v>
      </c>
      <c r="D90">
        <f>D30+(10/0.017)*(D16*D51+D31*D50)</f>
        <v>0.15010635093680957</v>
      </c>
      <c r="E90">
        <f>E30+(10/0.017)*(E16*E51+E31*E50)</f>
        <v>0.09229489939889726</v>
      </c>
      <c r="F90">
        <f>F30+(10/0.017)*(F16*F51+F31*F50)</f>
        <v>0.2831373346786873</v>
      </c>
    </row>
    <row r="91" spans="1:6" ht="12.75">
      <c r="A91" t="s">
        <v>89</v>
      </c>
      <c r="B91">
        <f>B31+(11/0.017)*(B17*B51+B32*B50)</f>
        <v>0.0030963249615148956</v>
      </c>
      <c r="C91">
        <f>C31+(11/0.017)*(C17*C51+C32*C50)</f>
        <v>0.021189638488850488</v>
      </c>
      <c r="D91">
        <f>D31+(11/0.017)*(D17*D51+D32*D50)</f>
        <v>0.048524702984739806</v>
      </c>
      <c r="E91">
        <f>E31+(11/0.017)*(E17*E51+E32*E50)</f>
        <v>0.09815269100407131</v>
      </c>
      <c r="F91">
        <f>F31+(11/0.017)*(F17*F51+F32*F50)</f>
        <v>0.008079297616969006</v>
      </c>
    </row>
    <row r="92" spans="1:6" ht="12.75">
      <c r="A92" t="s">
        <v>90</v>
      </c>
      <c r="B92">
        <f>B32+(12/0.017)*(B18*B51+B33*B50)</f>
        <v>0.012597686673611209</v>
      </c>
      <c r="C92">
        <f>C32+(12/0.017)*(C18*C51+C33*C50)</f>
        <v>-0.004786564215521412</v>
      </c>
      <c r="D92">
        <f>D32+(12/0.017)*(D18*D51+D33*D50)</f>
        <v>0.03243537693577152</v>
      </c>
      <c r="E92">
        <f>E32+(12/0.017)*(E18*E51+E33*E50)</f>
        <v>0.02072329730372935</v>
      </c>
      <c r="F92">
        <f>F32+(12/0.017)*(F18*F51+F33*F50)</f>
        <v>-0.02805136338497432</v>
      </c>
    </row>
    <row r="93" spans="1:6" ht="12.75">
      <c r="A93" t="s">
        <v>91</v>
      </c>
      <c r="B93">
        <f>B33+(13/0.017)*(B19*B51+B34*B50)</f>
        <v>0.0893499753576104</v>
      </c>
      <c r="C93">
        <f>C33+(13/0.017)*(C19*C51+C34*C50)</f>
        <v>0.09472435766873853</v>
      </c>
      <c r="D93">
        <f>D33+(13/0.017)*(D19*D51+D34*D50)</f>
        <v>0.09306865661294644</v>
      </c>
      <c r="E93">
        <f>E33+(13/0.017)*(E19*E51+E34*E50)</f>
        <v>0.09507732593877566</v>
      </c>
      <c r="F93">
        <f>F33+(13/0.017)*(F19*F51+F34*F50)</f>
        <v>0.05571687822830918</v>
      </c>
    </row>
    <row r="94" spans="1:6" ht="12.75">
      <c r="A94" t="s">
        <v>92</v>
      </c>
      <c r="B94">
        <f>B34+(14/0.017)*(B20*B51+B35*B50)</f>
        <v>-0.0011512975800196759</v>
      </c>
      <c r="C94">
        <f>C34+(14/0.017)*(C20*C51+C35*C50)</f>
        <v>0.001825478076685851</v>
      </c>
      <c r="D94">
        <f>D34+(14/0.017)*(D20*D51+D35*D50)</f>
        <v>0.019360384740115786</v>
      </c>
      <c r="E94">
        <f>E34+(14/0.017)*(E20*E51+E35*E50)</f>
        <v>0.023283160215259533</v>
      </c>
      <c r="F94">
        <f>F34+(14/0.017)*(F20*F51+F35*F50)</f>
        <v>-0.01471536896905464</v>
      </c>
    </row>
    <row r="95" spans="1:6" ht="12.75">
      <c r="A95" t="s">
        <v>93</v>
      </c>
      <c r="B95" s="53">
        <f>B35</f>
        <v>0.003052805</v>
      </c>
      <c r="C95" s="53">
        <f>C35</f>
        <v>0.003667733</v>
      </c>
      <c r="D95" s="53">
        <f>D35</f>
        <v>4.544054E-05</v>
      </c>
      <c r="E95" s="53">
        <f>E35</f>
        <v>0.007719396</v>
      </c>
      <c r="F95" s="53">
        <f>F35</f>
        <v>-0.0004867407</v>
      </c>
    </row>
    <row r="98" ht="12.75">
      <c r="A98" t="s">
        <v>61</v>
      </c>
    </row>
    <row r="100" spans="2:11" ht="12.75">
      <c r="B100" t="s">
        <v>6</v>
      </c>
      <c r="C100" t="s">
        <v>7</v>
      </c>
      <c r="D100" t="s">
        <v>8</v>
      </c>
      <c r="E100" t="s">
        <v>9</v>
      </c>
      <c r="F100" t="s">
        <v>10</v>
      </c>
      <c r="G100" t="s">
        <v>63</v>
      </c>
      <c r="H100" t="s">
        <v>64</v>
      </c>
      <c r="I100" t="s">
        <v>59</v>
      </c>
      <c r="K100" t="s">
        <v>94</v>
      </c>
    </row>
    <row r="101" spans="1:9" ht="12.75">
      <c r="A101" t="s">
        <v>62</v>
      </c>
      <c r="B101">
        <f>B61*10000/B62</f>
        <v>0</v>
      </c>
      <c r="C101">
        <f>C61*10000/C62</f>
        <v>0</v>
      </c>
      <c r="D101">
        <f>D61*10000/D62</f>
        <v>0</v>
      </c>
      <c r="E101">
        <f>E61*10000/E62</f>
        <v>0</v>
      </c>
      <c r="F101">
        <f>F61*10000/F62</f>
        <v>0</v>
      </c>
      <c r="G101">
        <f>AVERAGE(C101:E101)</f>
        <v>0</v>
      </c>
      <c r="H101">
        <f>STDEV(C101:E101)</f>
        <v>0</v>
      </c>
      <c r="I101">
        <f>(B101*B4+C101*C4+D101*D4+E101*E4+F101*F4)/SUM(B4:F4)</f>
        <v>0</v>
      </c>
    </row>
    <row r="102" spans="1:9" ht="12.75">
      <c r="A102" t="s">
        <v>65</v>
      </c>
      <c r="B102">
        <f>B62*10000/B62</f>
        <v>10000</v>
      </c>
      <c r="C102">
        <f>C62*10000/C62</f>
        <v>10000</v>
      </c>
      <c r="D102">
        <f>D62*10000/D62</f>
        <v>10000</v>
      </c>
      <c r="E102">
        <f>E62*10000/E62</f>
        <v>10000</v>
      </c>
      <c r="F102">
        <f>F62*10000/F62</f>
        <v>10000</v>
      </c>
      <c r="G102">
        <f>AVERAGE(C102:E102)</f>
        <v>10000</v>
      </c>
      <c r="H102">
        <f>STDEV(C102:E102)</f>
        <v>0</v>
      </c>
      <c r="I102">
        <f>(B102*B4+C102*C4+D102*D4+E102*E4+F102*F4)/SUM(B4:F4)</f>
        <v>10000</v>
      </c>
    </row>
    <row r="103" spans="1:11" ht="12.75">
      <c r="A103" t="s">
        <v>66</v>
      </c>
      <c r="B103">
        <f>B63*10000/B62</f>
        <v>1.6505157953460712</v>
      </c>
      <c r="C103">
        <f>C63*10000/C62</f>
        <v>1.7365611624910096</v>
      </c>
      <c r="D103">
        <f>D63*10000/D62</f>
        <v>2.0366799259895876</v>
      </c>
      <c r="E103">
        <f>E63*10000/E62</f>
        <v>2.0131681899631904</v>
      </c>
      <c r="F103">
        <f>F63*10000/F62</f>
        <v>-0.6488934200878078</v>
      </c>
      <c r="G103">
        <f>AVERAGE(C103:E103)</f>
        <v>1.928803092814596</v>
      </c>
      <c r="H103">
        <f>STDEV(C103:E103)</f>
        <v>0.16690092948706536</v>
      </c>
      <c r="I103">
        <f>(B103*B4+C103*C4+D103*D4+E103*E4+F103*F4)/SUM(B4:F4)</f>
        <v>1.5444384339540806</v>
      </c>
      <c r="K103">
        <f>(LN(H103)+LN(H123))/2-LN(K114*K115^3)</f>
        <v>-4.5984575922743645</v>
      </c>
    </row>
    <row r="104" spans="1:11" ht="12.75">
      <c r="A104" t="s">
        <v>67</v>
      </c>
      <c r="B104">
        <f>B64*10000/B62</f>
        <v>0.37672057152714955</v>
      </c>
      <c r="C104">
        <f>C64*10000/C62</f>
        <v>0.41711086533469083</v>
      </c>
      <c r="D104">
        <f>D64*10000/D62</f>
        <v>0.49863601921093403</v>
      </c>
      <c r="E104">
        <f>E64*10000/E62</f>
        <v>0.08238689334679673</v>
      </c>
      <c r="F104">
        <f>F64*10000/F62</f>
        <v>-1.745468756429815</v>
      </c>
      <c r="G104">
        <f>AVERAGE(C104:E104)</f>
        <v>0.33271125929747386</v>
      </c>
      <c r="H104">
        <f>STDEV(C104:E104)</f>
        <v>0.22058627296387387</v>
      </c>
      <c r="I104">
        <f>(B104*B4+C104*C4+D104*D4+E104*E4+F104*F4)/SUM(B4:F4)</f>
        <v>0.061642739033020956</v>
      </c>
      <c r="K104">
        <f>(LN(H104)+LN(H124))/2-LN(K114*K115^4)</f>
        <v>-3.878134945781593</v>
      </c>
    </row>
    <row r="105" spans="1:11" ht="12.75">
      <c r="A105" t="s">
        <v>68</v>
      </c>
      <c r="B105">
        <f>B65*10000/B62</f>
        <v>0.11377104674173512</v>
      </c>
      <c r="C105">
        <f>C65*10000/C62</f>
        <v>-0.12178706239196009</v>
      </c>
      <c r="D105">
        <f>D65*10000/D62</f>
        <v>0.12411215064616701</v>
      </c>
      <c r="E105">
        <f>E65*10000/E62</f>
        <v>0.31415506479532973</v>
      </c>
      <c r="F105">
        <f>F65*10000/F62</f>
        <v>-0.7481345396609533</v>
      </c>
      <c r="G105">
        <f>AVERAGE(C105:E105)</f>
        <v>0.10549338434984555</v>
      </c>
      <c r="H105">
        <f>STDEV(C105:E105)</f>
        <v>0.21856664523193509</v>
      </c>
      <c r="I105">
        <f>(B105*B4+C105*C4+D105*D4+E105*E4+F105*F4)/SUM(B4:F4)</f>
        <v>-0.007245026016898216</v>
      </c>
      <c r="K105">
        <f>(LN(H105)+LN(H125))/2-LN(K114*K115^5)</f>
        <v>-4.1115980662890586</v>
      </c>
    </row>
    <row r="106" spans="1:11" ht="12.75">
      <c r="A106" t="s">
        <v>69</v>
      </c>
      <c r="B106">
        <f>B66*10000/B62</f>
        <v>1.8568410946459764</v>
      </c>
      <c r="C106">
        <f>C66*10000/C62</f>
        <v>2.5235814668791337</v>
      </c>
      <c r="D106">
        <f>D66*10000/D62</f>
        <v>2.212006476230437</v>
      </c>
      <c r="E106">
        <f>E66*10000/E62</f>
        <v>1.5389591711088928</v>
      </c>
      <c r="F106">
        <f>F66*10000/F62</f>
        <v>12.321050196888118</v>
      </c>
      <c r="G106">
        <f>AVERAGE(C106:E106)</f>
        <v>2.091515704739488</v>
      </c>
      <c r="H106">
        <f>STDEV(C106:E106)</f>
        <v>0.5032482348134247</v>
      </c>
      <c r="I106">
        <f>(B106*B4+C106*C4+D106*D4+E106*E4+F106*F4)/SUM(B4:F4)</f>
        <v>3.4230243333239545</v>
      </c>
      <c r="K106">
        <f>(LN(H106)+LN(H126))/2-LN(K114*K115^6)</f>
        <v>-3.25094915458478</v>
      </c>
    </row>
    <row r="107" spans="1:11" ht="12.75">
      <c r="A107" t="s">
        <v>70</v>
      </c>
      <c r="B107">
        <f>B67*10000/B62</f>
        <v>0.07617914787504146</v>
      </c>
      <c r="C107">
        <f>C67*10000/C62</f>
        <v>-0.035960749238782945</v>
      </c>
      <c r="D107">
        <f>D67*10000/D62</f>
        <v>0.2509438830106566</v>
      </c>
      <c r="E107">
        <f>E67*10000/E62</f>
        <v>0.19195812537126705</v>
      </c>
      <c r="F107">
        <f>F67*10000/F62</f>
        <v>0.1875232508005356</v>
      </c>
      <c r="G107">
        <f>AVERAGE(C107:E107)</f>
        <v>0.13564708638104692</v>
      </c>
      <c r="H107">
        <f>STDEV(C107:E107)</f>
        <v>0.15151490631507222</v>
      </c>
      <c r="I107">
        <f>(B107*B4+C107*C4+D107*D4+E107*E4+F107*F4)/SUM(B4:F4)</f>
        <v>0.13396201610148425</v>
      </c>
      <c r="K107">
        <f>(LN(H107)+LN(H127))/2-LN(K114*K115^7)</f>
        <v>-3.6249311322860036</v>
      </c>
    </row>
    <row r="108" spans="1:9" ht="12.75">
      <c r="A108" t="s">
        <v>71</v>
      </c>
      <c r="B108">
        <f>B68*10000/B62</f>
        <v>-0.028515925086870793</v>
      </c>
      <c r="C108">
        <f>C68*10000/C62</f>
        <v>-0.047441734930024626</v>
      </c>
      <c r="D108">
        <f>D68*10000/D62</f>
        <v>-0.08056541073606242</v>
      </c>
      <c r="E108">
        <f>E68*10000/E62</f>
        <v>-0.07446391509841636</v>
      </c>
      <c r="F108">
        <f>F68*10000/F62</f>
        <v>-0.2383745992752238</v>
      </c>
      <c r="G108">
        <f>AVERAGE(C108:E108)</f>
        <v>-0.06749035358816781</v>
      </c>
      <c r="H108">
        <f>STDEV(C108:E108)</f>
        <v>0.017628595940368787</v>
      </c>
      <c r="I108">
        <f>(B108*B4+C108*C4+D108*D4+E108*E4+F108*F4)/SUM(B4:F4)</f>
        <v>-0.084660536700927</v>
      </c>
    </row>
    <row r="109" spans="1:9" ht="12.75">
      <c r="A109" t="s">
        <v>72</v>
      </c>
      <c r="B109">
        <f>B69*10000/B62</f>
        <v>-0.016391232463904053</v>
      </c>
      <c r="C109">
        <f>C69*10000/C62</f>
        <v>0.016619371295712306</v>
      </c>
      <c r="D109">
        <f>D69*10000/D62</f>
        <v>-0.07760480827556174</v>
      </c>
      <c r="E109">
        <f>E69*10000/E62</f>
        <v>-0.00011869282209910877</v>
      </c>
      <c r="F109">
        <f>F69*10000/F62</f>
        <v>-0.08815002806302767</v>
      </c>
      <c r="G109">
        <f>AVERAGE(C109:E109)</f>
        <v>-0.02036804326731618</v>
      </c>
      <c r="H109">
        <f>STDEV(C109:E109)</f>
        <v>0.050270032316081056</v>
      </c>
      <c r="I109">
        <f>(B109*B4+C109*C4+D109*D4+E109*E4+F109*F4)/SUM(B4:F4)</f>
        <v>-0.028835591329049722</v>
      </c>
    </row>
    <row r="110" spans="1:11" ht="12.75">
      <c r="A110" t="s">
        <v>73</v>
      </c>
      <c r="B110">
        <f>B70*10000/B62</f>
        <v>-0.5273527187295312</v>
      </c>
      <c r="C110">
        <f>C70*10000/C62</f>
        <v>-0.16133715447265431</v>
      </c>
      <c r="D110">
        <f>D70*10000/D62</f>
        <v>-0.17052457344974564</v>
      </c>
      <c r="E110">
        <f>E70*10000/E62</f>
        <v>-0.2467586903264389</v>
      </c>
      <c r="F110">
        <f>F70*10000/F62</f>
        <v>-0.5118975217613956</v>
      </c>
      <c r="G110">
        <f>AVERAGE(C110:E110)</f>
        <v>-0.19287347274961297</v>
      </c>
      <c r="H110">
        <f>STDEV(C110:E110)</f>
        <v>0.04689152025517565</v>
      </c>
      <c r="I110">
        <f>(B110*B4+C110*C4+D110*D4+E110*E4+F110*F4)/SUM(B4:F4)</f>
        <v>-0.28386929842963476</v>
      </c>
      <c r="K110">
        <f>EXP(AVERAGE(K103:K107))</f>
        <v>0.020387890073525317</v>
      </c>
    </row>
    <row r="111" spans="1:9" ht="12.75">
      <c r="A111" t="s">
        <v>74</v>
      </c>
      <c r="B111">
        <f>B71*10000/B62</f>
        <v>0.012882999328330157</v>
      </c>
      <c r="C111">
        <f>C71*10000/C62</f>
        <v>-0.062121466201448164</v>
      </c>
      <c r="D111">
        <f>D71*10000/D62</f>
        <v>0.02433908853408686</v>
      </c>
      <c r="E111">
        <f>E71*10000/E62</f>
        <v>-0.0022620977257912724</v>
      </c>
      <c r="F111">
        <f>F71*10000/F62</f>
        <v>0.017632361529778397</v>
      </c>
      <c r="G111">
        <f>AVERAGE(C111:E111)</f>
        <v>-0.013348158464384191</v>
      </c>
      <c r="H111">
        <f>STDEV(C111:E111)</f>
        <v>0.044283545909501655</v>
      </c>
      <c r="I111">
        <f>(B111*B4+C111*C4+D111*D4+E111*E4+F111*F4)/SUM(B4:F4)</f>
        <v>-0.0054182302636288865</v>
      </c>
    </row>
    <row r="112" spans="1:9" ht="12.75">
      <c r="A112" t="s">
        <v>75</v>
      </c>
      <c r="B112">
        <f>B72*10000/B62</f>
        <v>-0.03859835846595028</v>
      </c>
      <c r="C112">
        <f>C72*10000/C62</f>
        <v>-0.004571430809338356</v>
      </c>
      <c r="D112">
        <f>D72*10000/D62</f>
        <v>-0.029077814342001167</v>
      </c>
      <c r="E112">
        <f>E72*10000/E62</f>
        <v>-0.00010602146557659928</v>
      </c>
      <c r="F112">
        <f>F72*10000/F62</f>
        <v>-0.0348311782753156</v>
      </c>
      <c r="G112">
        <f>AVERAGE(C112:E112)</f>
        <v>-0.011251755538972041</v>
      </c>
      <c r="H112">
        <f>STDEV(C112:E112)</f>
        <v>0.015598437405350187</v>
      </c>
      <c r="I112">
        <f>(B112*B4+C112*C4+D112*D4+E112*E4+F112*F4)/SUM(B4:F4)</f>
        <v>-0.018355003973001955</v>
      </c>
    </row>
    <row r="113" spans="1:9" ht="12.75">
      <c r="A113" t="s">
        <v>76</v>
      </c>
      <c r="B113">
        <f>B73*10000/B62</f>
        <v>0.0035443098151258395</v>
      </c>
      <c r="C113">
        <f>C73*10000/C62</f>
        <v>0.010882376670010808</v>
      </c>
      <c r="D113">
        <f>D73*10000/D62</f>
        <v>0.014657474230333034</v>
      </c>
      <c r="E113">
        <f>E73*10000/E62</f>
        <v>0.01623433394564746</v>
      </c>
      <c r="F113">
        <f>F73*10000/F62</f>
        <v>-0.021163533082601823</v>
      </c>
      <c r="G113">
        <f>AVERAGE(C113:E113)</f>
        <v>0.013924728281997102</v>
      </c>
      <c r="H113">
        <f>STDEV(C113:E113)</f>
        <v>0.0027501907458687374</v>
      </c>
      <c r="I113">
        <f>(B113*B4+C113*C4+D113*D4+E113*E4+F113*F4)/SUM(B4:F4)</f>
        <v>0.0077387540539490245</v>
      </c>
    </row>
    <row r="114" spans="1:11" ht="12.75">
      <c r="A114" t="s">
        <v>77</v>
      </c>
      <c r="B114">
        <f>B74*10000/B62</f>
        <v>-0.21071467211795433</v>
      </c>
      <c r="C114">
        <f>C74*10000/C62</f>
        <v>-0.19974113692962173</v>
      </c>
      <c r="D114">
        <f>D74*10000/D62</f>
        <v>-0.200901119528047</v>
      </c>
      <c r="E114">
        <f>E74*10000/E62</f>
        <v>-0.18549987132259757</v>
      </c>
      <c r="F114">
        <f>F74*10000/F62</f>
        <v>-0.16349011679816874</v>
      </c>
      <c r="G114">
        <f>AVERAGE(C114:E114)</f>
        <v>-0.19538070926008877</v>
      </c>
      <c r="H114">
        <f>STDEV(C114:E114)</f>
        <v>0.008576689843254688</v>
      </c>
      <c r="I114">
        <f>(B114*B4+C114*C4+D114*D4+E114*E4+F114*F4)/SUM(B4:F4)</f>
        <v>-0.19334183444783667</v>
      </c>
      <c r="J114" t="s">
        <v>95</v>
      </c>
      <c r="K114">
        <v>285</v>
      </c>
    </row>
    <row r="115" spans="1:11" ht="12.75">
      <c r="A115" t="s">
        <v>78</v>
      </c>
      <c r="B115">
        <f>B75*10000/B62</f>
        <v>-0.0045629235697964305</v>
      </c>
      <c r="C115">
        <f>C75*10000/C62</f>
        <v>-0.0028900117551927595</v>
      </c>
      <c r="D115">
        <f>D75*10000/D62</f>
        <v>-0.0005663866464109842</v>
      </c>
      <c r="E115">
        <f>E75*10000/E62</f>
        <v>-0.005980923551769042</v>
      </c>
      <c r="F115">
        <f>F75*10000/F62</f>
        <v>-0.0028725822871675855</v>
      </c>
      <c r="G115">
        <f>AVERAGE(C115:E115)</f>
        <v>-0.003145773984457595</v>
      </c>
      <c r="H115">
        <f>STDEV(C115:E115)</f>
        <v>0.002716314269982395</v>
      </c>
      <c r="I115">
        <f>(B115*B4+C115*C4+D115*D4+E115*E4+F115*F4)/SUM(B4:F4)</f>
        <v>-0.0033147412621806864</v>
      </c>
      <c r="J115" t="s">
        <v>96</v>
      </c>
      <c r="K115">
        <v>0.5536</v>
      </c>
    </row>
    <row r="118" ht="12.75">
      <c r="A118" t="s">
        <v>61</v>
      </c>
    </row>
    <row r="120" spans="2:9" ht="12.75">
      <c r="B120" t="s">
        <v>6</v>
      </c>
      <c r="C120" t="s">
        <v>7</v>
      </c>
      <c r="D120" t="s">
        <v>8</v>
      </c>
      <c r="E120" t="s">
        <v>9</v>
      </c>
      <c r="F120" t="s">
        <v>10</v>
      </c>
      <c r="G120" t="s">
        <v>63</v>
      </c>
      <c r="H120" t="s">
        <v>64</v>
      </c>
      <c r="I120" t="s">
        <v>59</v>
      </c>
    </row>
    <row r="121" spans="1:9" ht="12.75">
      <c r="A121" t="s">
        <v>79</v>
      </c>
      <c r="B121">
        <f>B81*10000/B62</f>
        <v>0</v>
      </c>
      <c r="C121">
        <f>C81*10000/C62</f>
        <v>0</v>
      </c>
      <c r="D121">
        <f>D81*10000/D62</f>
        <v>0</v>
      </c>
      <c r="E121">
        <f>E81*10000/E62</f>
        <v>0</v>
      </c>
      <c r="F121">
        <f>F81*10000/F62</f>
        <v>0</v>
      </c>
      <c r="G121">
        <f>AVERAGE(C121:E121)</f>
        <v>0</v>
      </c>
      <c r="H121">
        <f>STDEV(C121:E121)</f>
        <v>0</v>
      </c>
      <c r="I121">
        <f>(B121*B4+C121*C4+D121*D4+E121*E4+F121*F4)/SUM(B4:F4)</f>
        <v>0</v>
      </c>
    </row>
    <row r="122" spans="1:9" ht="12.75">
      <c r="A122" t="s">
        <v>80</v>
      </c>
      <c r="B122">
        <f>B82*10000/B62</f>
        <v>157.9541494178883</v>
      </c>
      <c r="C122">
        <f>C82*10000/C62</f>
        <v>37.53249132541296</v>
      </c>
      <c r="D122">
        <f>D82*10000/D62</f>
        <v>-26.794796730431493</v>
      </c>
      <c r="E122">
        <f>E82*10000/E62</f>
        <v>-50.777810258283075</v>
      </c>
      <c r="F122">
        <f>F82*10000/F62</f>
        <v>-97.14472065084973</v>
      </c>
      <c r="G122">
        <f>AVERAGE(C122:E122)</f>
        <v>-13.346705221100535</v>
      </c>
      <c r="H122">
        <f>STDEV(C122:E122)</f>
        <v>45.665257202640845</v>
      </c>
      <c r="I122">
        <f>(B122*B4+C122*C4+D122*D4+E122*E4+F122*F4)/SUM(B4:F4)</f>
        <v>0.2561424302608834</v>
      </c>
    </row>
    <row r="123" spans="1:9" ht="12.75">
      <c r="A123" t="s">
        <v>81</v>
      </c>
      <c r="B123">
        <f>B83*10000/B62</f>
        <v>-2.2205230541370256</v>
      </c>
      <c r="C123">
        <f>C83*10000/C62</f>
        <v>1.5363712733543602</v>
      </c>
      <c r="D123">
        <f>D83*10000/D62</f>
        <v>-0.12596543515540623</v>
      </c>
      <c r="E123">
        <f>E83*10000/E62</f>
        <v>-1.2886058653543142</v>
      </c>
      <c r="F123">
        <f>F83*10000/F62</f>
        <v>3.493727278732099</v>
      </c>
      <c r="G123">
        <f>AVERAGE(C123:E123)</f>
        <v>0.04059999094821324</v>
      </c>
      <c r="H123">
        <f>STDEV(C123:E123)</f>
        <v>1.4198351979847776</v>
      </c>
      <c r="I123">
        <f>(B123*B4+C123*C4+D123*D4+E123*E4+F123*F4)/SUM(B4:F4)</f>
        <v>0.1742484090904973</v>
      </c>
    </row>
    <row r="124" spans="1:9" ht="12.75">
      <c r="A124" t="s">
        <v>82</v>
      </c>
      <c r="B124">
        <f>B84*10000/B62</f>
        <v>1.050075747140298</v>
      </c>
      <c r="C124">
        <f>C84*10000/C62</f>
        <v>0.15071157253768744</v>
      </c>
      <c r="D124">
        <f>D84*10000/D62</f>
        <v>0.0009285901339032839</v>
      </c>
      <c r="E124">
        <f>E84*10000/E62</f>
        <v>-2.329121265987776</v>
      </c>
      <c r="F124">
        <f>F84*10000/F62</f>
        <v>-1.0435913177575435</v>
      </c>
      <c r="G124">
        <f>AVERAGE(C124:E124)</f>
        <v>-0.7258270344387284</v>
      </c>
      <c r="H124">
        <f>STDEV(C124:E124)</f>
        <v>1.3905117871284953</v>
      </c>
      <c r="I124">
        <f>(B124*B4+C124*C4+D124*D4+E124*E4+F124*F4)/SUM(B4:F4)</f>
        <v>-0.5113885147813386</v>
      </c>
    </row>
    <row r="125" spans="1:9" ht="12.75">
      <c r="A125" t="s">
        <v>83</v>
      </c>
      <c r="B125">
        <f>B85*10000/B62</f>
        <v>-0.8224914372238755</v>
      </c>
      <c r="C125">
        <f>C85*10000/C62</f>
        <v>0.03912140986640732</v>
      </c>
      <c r="D125">
        <f>D85*10000/D62</f>
        <v>-0.4226346363303348</v>
      </c>
      <c r="E125">
        <f>E85*10000/E62</f>
        <v>-0.4329967456034299</v>
      </c>
      <c r="F125">
        <f>F85*10000/F62</f>
        <v>-1.0323200953645222</v>
      </c>
      <c r="G125">
        <f>AVERAGE(C125:E125)</f>
        <v>-0.2721699906891191</v>
      </c>
      <c r="H125">
        <f>STDEV(C125:E125)</f>
        <v>0.269636042420172</v>
      </c>
      <c r="I125">
        <f>(B125*B4+C125*C4+D125*D4+E125*E4+F125*F4)/SUM(B4:F4)</f>
        <v>-0.45328264899806453</v>
      </c>
    </row>
    <row r="126" spans="1:9" ht="12.75">
      <c r="A126" t="s">
        <v>84</v>
      </c>
      <c r="B126">
        <f>B86*10000/B62</f>
        <v>1.4771269325637317</v>
      </c>
      <c r="C126">
        <f>C86*10000/C62</f>
        <v>0.07150293790547349</v>
      </c>
      <c r="D126">
        <f>D86*10000/D62</f>
        <v>0.3114634637477331</v>
      </c>
      <c r="E126">
        <f>E86*10000/E62</f>
        <v>0.4701254332322542</v>
      </c>
      <c r="F126">
        <f>F86*10000/F62</f>
        <v>1.0774562088262538</v>
      </c>
      <c r="G126">
        <f>AVERAGE(C126:E126)</f>
        <v>0.28436394496182027</v>
      </c>
      <c r="H126">
        <f>STDEV(C126:E126)</f>
        <v>0.20068821934522807</v>
      </c>
      <c r="I126">
        <f>(B126*B4+C126*C4+D126*D4+E126*E4+F126*F4)/SUM(B4:F4)</f>
        <v>0.5628565073960275</v>
      </c>
    </row>
    <row r="127" spans="1:9" ht="12.75">
      <c r="A127" t="s">
        <v>85</v>
      </c>
      <c r="B127">
        <f>B87*10000/B62</f>
        <v>-0.06043011219408962</v>
      </c>
      <c r="C127">
        <f>C87*10000/C62</f>
        <v>0.052487817868228495</v>
      </c>
      <c r="D127">
        <f>D87*10000/D62</f>
        <v>0.24540933039359444</v>
      </c>
      <c r="E127">
        <f>E87*10000/E62</f>
        <v>0.13729627994451862</v>
      </c>
      <c r="F127">
        <f>F87*10000/F62</f>
        <v>0.19022383716434899</v>
      </c>
      <c r="G127">
        <f>AVERAGE(C127:E127)</f>
        <v>0.1450644760687805</v>
      </c>
      <c r="H127">
        <f>STDEV(C127:E127)</f>
        <v>0.09669506787855044</v>
      </c>
      <c r="I127">
        <f>(B127*B4+C127*C4+D127*D4+E127*E4+F127*F4)/SUM(B4:F4)</f>
        <v>0.12134692129375557</v>
      </c>
    </row>
    <row r="128" spans="1:9" ht="12.75">
      <c r="A128" t="s">
        <v>86</v>
      </c>
      <c r="B128">
        <f>B88*10000/B62</f>
        <v>0.1357828577720165</v>
      </c>
      <c r="C128">
        <f>C88*10000/C62</f>
        <v>0.15404180565927936</v>
      </c>
      <c r="D128">
        <f>D88*10000/D62</f>
        <v>0.29804125786939345</v>
      </c>
      <c r="E128">
        <f>E88*10000/E62</f>
        <v>-0.08537488775365414</v>
      </c>
      <c r="F128">
        <f>F88*10000/F62</f>
        <v>-0.17718487989198822</v>
      </c>
      <c r="G128">
        <f>AVERAGE(C128:E128)</f>
        <v>0.12223605859167287</v>
      </c>
      <c r="H128">
        <f>STDEV(C128:E128)</f>
        <v>0.1936767651036255</v>
      </c>
      <c r="I128">
        <f>(B128*B4+C128*C4+D128*D4+E128*E4+F128*F4)/SUM(B4:F4)</f>
        <v>0.08420301174017993</v>
      </c>
    </row>
    <row r="129" spans="1:9" ht="12.75">
      <c r="A129" t="s">
        <v>87</v>
      </c>
      <c r="B129">
        <f>B89*10000/B62</f>
        <v>0.13045402147934132</v>
      </c>
      <c r="C129">
        <f>C89*10000/C62</f>
        <v>0.07859105017709171</v>
      </c>
      <c r="D129">
        <f>D89*10000/D62</f>
        <v>0.06458361253730151</v>
      </c>
      <c r="E129">
        <f>E89*10000/E62</f>
        <v>0.1868016478224031</v>
      </c>
      <c r="F129">
        <f>F89*10000/F62</f>
        <v>-0.07028952623355308</v>
      </c>
      <c r="G129">
        <f>AVERAGE(C129:E129)</f>
        <v>0.10999210351226545</v>
      </c>
      <c r="H129">
        <f>STDEV(C129:E129)</f>
        <v>0.06688670757449795</v>
      </c>
      <c r="I129">
        <f>(B129*B4+C129*C4+D129*D4+E129*E4+F129*F4)/SUM(B4:F4)</f>
        <v>0.08889584200409822</v>
      </c>
    </row>
    <row r="130" spans="1:9" ht="12.75">
      <c r="A130" t="s">
        <v>88</v>
      </c>
      <c r="B130">
        <f>B90*10000/B62</f>
        <v>0.14011890669313123</v>
      </c>
      <c r="C130">
        <f>C90*10000/C62</f>
        <v>0.09880754178596368</v>
      </c>
      <c r="D130">
        <f>D90*10000/D62</f>
        <v>0.1501069727958382</v>
      </c>
      <c r="E130">
        <f>E90*10000/E62</f>
        <v>0.09229472273532802</v>
      </c>
      <c r="F130">
        <f>F90*10000/F62</f>
        <v>0.2831398271414067</v>
      </c>
      <c r="G130">
        <f>AVERAGE(C130:E130)</f>
        <v>0.11373641243904331</v>
      </c>
      <c r="H130">
        <f>STDEV(C130:E130)</f>
        <v>0.03166571408474826</v>
      </c>
      <c r="I130">
        <f>(B130*B4+C130*C4+D130*D4+E130*E4+F130*F4)/SUM(B4:F4)</f>
        <v>0.14016394516101888</v>
      </c>
    </row>
    <row r="131" spans="1:9" ht="12.75">
      <c r="A131" t="s">
        <v>89</v>
      </c>
      <c r="B131">
        <f>B91*10000/B62</f>
        <v>0.0030963070265169128</v>
      </c>
      <c r="C131">
        <f>C91*10000/C62</f>
        <v>0.02118954137803751</v>
      </c>
      <c r="D131">
        <f>D91*10000/D62</f>
        <v>0.04852490401237437</v>
      </c>
      <c r="E131">
        <f>E91*10000/E62</f>
        <v>0.09815250312798242</v>
      </c>
      <c r="F131">
        <f>F91*10000/F62</f>
        <v>0.008079368739161817</v>
      </c>
      <c r="G131">
        <f>AVERAGE(C131:E131)</f>
        <v>0.05595564950613143</v>
      </c>
      <c r="H131">
        <f>STDEV(C131:E131)</f>
        <v>0.0390158474760656</v>
      </c>
      <c r="I131">
        <f>(B131*B4+C131*C4+D131*D4+E131*E4+F131*F4)/SUM(B4:F4)</f>
        <v>0.04191824392997228</v>
      </c>
    </row>
    <row r="132" spans="1:9" ht="12.75">
      <c r="A132" t="s">
        <v>90</v>
      </c>
      <c r="B132">
        <f>B92*10000/B62</f>
        <v>0.012597613703400429</v>
      </c>
      <c r="C132">
        <f>C92*10000/C62</f>
        <v>-0.00478654227899132</v>
      </c>
      <c r="D132">
        <f>D92*10000/D62</f>
        <v>0.03243551130871356</v>
      </c>
      <c r="E132">
        <f>E92*10000/E62</f>
        <v>0.020723257636838847</v>
      </c>
      <c r="F132">
        <f>F92*10000/F62</f>
        <v>-0.028051610321598006</v>
      </c>
      <c r="G132">
        <f>AVERAGE(C132:E132)</f>
        <v>0.016124075555520364</v>
      </c>
      <c r="H132">
        <f>STDEV(C132:E132)</f>
        <v>0.019032463718193032</v>
      </c>
      <c r="I132">
        <f>(B132*B4+C132*C4+D132*D4+E132*E4+F132*F4)/SUM(B4:F4)</f>
        <v>0.009716084902548439</v>
      </c>
    </row>
    <row r="133" spans="1:9" ht="12.75">
      <c r="A133" t="s">
        <v>91</v>
      </c>
      <c r="B133">
        <f>B93*10000/B62</f>
        <v>0.08934945781127797</v>
      </c>
      <c r="C133">
        <f>C93*10000/C62</f>
        <v>0.09472392355281971</v>
      </c>
      <c r="D133">
        <f>D93*10000/D62</f>
        <v>0.09306904217680857</v>
      </c>
      <c r="E133">
        <f>E93*10000/E62</f>
        <v>0.09507714394930643</v>
      </c>
      <c r="F133">
        <f>F93*10000/F62</f>
        <v>0.055717368704925344</v>
      </c>
      <c r="G133">
        <f>AVERAGE(C133:E133)</f>
        <v>0.09429003655964491</v>
      </c>
      <c r="H133">
        <f>STDEV(C133:E133)</f>
        <v>0.0010720595246115421</v>
      </c>
      <c r="I133">
        <f>(B133*B4+C133*C4+D133*D4+E133*E4+F133*F4)/SUM(B4:F4)</f>
        <v>0.08842620995756482</v>
      </c>
    </row>
    <row r="134" spans="1:9" ht="12.75">
      <c r="A134" t="s">
        <v>92</v>
      </c>
      <c r="B134">
        <f>B94*10000/B62</f>
        <v>-0.001151290911301104</v>
      </c>
      <c r="C134">
        <f>C94*10000/C62</f>
        <v>0.0018254697106318385</v>
      </c>
      <c r="D134">
        <f>D94*10000/D62</f>
        <v>0.01936046494611622</v>
      </c>
      <c r="E134">
        <f>E94*10000/E62</f>
        <v>0.023283115648482674</v>
      </c>
      <c r="F134">
        <f>F94*10000/F62</f>
        <v>-0.014715498508695178</v>
      </c>
      <c r="G134">
        <f>AVERAGE(C134:E134)</f>
        <v>0.014823016768410245</v>
      </c>
      <c r="H134">
        <f>STDEV(C134:E134)</f>
        <v>0.011425802784599736</v>
      </c>
      <c r="I134">
        <f>(B134*B4+C134*C4+D134*D4+E134*E4+F134*F4)/SUM(B4:F4)</f>
        <v>0.008568476084067668</v>
      </c>
    </row>
    <row r="135" spans="1:9" ht="12.75">
      <c r="A135" t="s">
        <v>93</v>
      </c>
      <c r="B135">
        <f>B95*10000/B62</f>
        <v>0.0030527873170848674</v>
      </c>
      <c r="C135">
        <f>C95*10000/C62</f>
        <v>0.003667716191004716</v>
      </c>
      <c r="D135">
        <f>D95*10000/D62</f>
        <v>4.544072825059625E-05</v>
      </c>
      <c r="E135">
        <f>E95*10000/E62</f>
        <v>0.007719381224145011</v>
      </c>
      <c r="F135">
        <f>F95*10000/F62</f>
        <v>-0.0004867449847865688</v>
      </c>
      <c r="G135">
        <f>AVERAGE(C135:E135)</f>
        <v>0.0038108460478001077</v>
      </c>
      <c r="H135">
        <f>STDEV(C135:E135)</f>
        <v>0.0038389719067169216</v>
      </c>
      <c r="I135">
        <f>(B135*B4+C135*C4+D135*D4+E135*E4+F135*F4)/SUM(B4:F4)</f>
        <v>0.0031279595219980754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Mess</dc:creator>
  <cp:keywords/>
  <dc:description/>
  <cp:lastModifiedBy>hagen</cp:lastModifiedBy>
  <cp:lastPrinted>2004-03-24T13:20:29Z</cp:lastPrinted>
  <dcterms:created xsi:type="dcterms:W3CDTF">2004-03-24T13:20:29Z</dcterms:created>
  <dcterms:modified xsi:type="dcterms:W3CDTF">2004-03-24T13:42:30Z</dcterms:modified>
  <cp:category/>
  <cp:version/>
  <cp:contentType/>
  <cp:contentStatus/>
</cp:coreProperties>
</file>