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940" windowHeight="9150" activeTab="1"/>
  </bookViews>
  <sheets>
    <sheet name="Result_HCMQAP" sheetId="1" r:id="rId1"/>
    <sheet name="Result2_HCMQAP" sheetId="2" r:id="rId2"/>
  </sheets>
  <definedNames>
    <definedName name="_xlnm.Print_Area" localSheetId="0">'Result_HCMQAP'!$A$1:$G$63</definedName>
  </definedNames>
  <calcPr fullCalcOnLoad="1"/>
</workbook>
</file>

<file path=xl/sharedStrings.xml><?xml version="1.0" encoding="utf-8"?>
<sst xmlns="http://schemas.openxmlformats.org/spreadsheetml/2006/main" count="206" uniqueCount="99">
  <si>
    <t xml:space="preserve"> Fri 09/12/2005       09:59:30</t>
  </si>
  <si>
    <t>LISSNER</t>
  </si>
  <si>
    <t>HCMQAP758</t>
  </si>
  <si>
    <t>Aperture2</t>
  </si>
  <si>
    <t>Taupe_quadrupole#4</t>
  </si>
  <si>
    <t>Position</t>
  </si>
  <si>
    <t>Position 1</t>
  </si>
  <si>
    <t>Position 2</t>
  </si>
  <si>
    <t>Position 3</t>
  </si>
  <si>
    <t>Position 4</t>
  </si>
  <si>
    <t>Position 5</t>
  </si>
  <si>
    <t>Integrales</t>
  </si>
  <si>
    <t>Cn (T)</t>
  </si>
  <si>
    <t>Angle (Horiz,Cn)</t>
  </si>
  <si>
    <t>b1</t>
  </si>
  <si>
    <t>b2</t>
  </si>
  <si>
    <t>b3</t>
  </si>
  <si>
    <t>b4</t>
  </si>
  <si>
    <t>b5!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</si>
  <si>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</si>
  <si>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</si>
  <si>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</si>
  <si>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</si>
  <si>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</si>
  <si>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</si>
  <si>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</si>
  <si>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</si>
  <si>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</si>
  <si>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</si>
  <si>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</si>
  <si>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</si>
  <si>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</si>
  <si>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</si>
  <si>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</si>
  <si>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</si>
  <si>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</si>
  <si>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</si>
  <si>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</si>
  <si>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</si>
  <si>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</si>
  <si>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</si>
  <si>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</si>
  <si>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</si>
  <si>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</si>
  <si>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Temp taupe (deg)</t>
  </si>
  <si>
    <t>Niv init (mrad)</t>
  </si>
  <si>
    <t>C2 centre (T)</t>
  </si>
  <si>
    <t>Long. Mag. (m)</t>
  </si>
  <si>
    <t>Int.f (T/kA)</t>
  </si>
  <si>
    <t>54.886563*</t>
  </si>
  <si>
    <t>Number of measurement</t>
  </si>
  <si>
    <t>Mean real current (A)</t>
  </si>
  <si>
    <t xml:space="preserve">* = Integral error  ! = Central error           Conclusion : CONTACT CEA           </t>
  </si>
  <si>
    <t>Duration : 30mn</t>
  </si>
  <si>
    <t>Dx moy(m)</t>
  </si>
  <si>
    <t>Dy moy(m)</t>
  </si>
  <si>
    <t>Dx moy (mm)</t>
  </si>
  <si>
    <t>Dy moy (mm)</t>
  </si>
  <si>
    <t>* = Integral error  ! = Central error           Conclusion : CONTACT CEA           Duration : 30mn</t>
  </si>
  <si>
    <t>Dx corrected</t>
  </si>
  <si>
    <t>Dy corrected</t>
  </si>
  <si>
    <t>Integrals</t>
  </si>
  <si>
    <t>Feed down</t>
  </si>
  <si>
    <t>Feed down normalised</t>
  </si>
  <si>
    <t>b1'</t>
  </si>
  <si>
    <t>Central</t>
  </si>
  <si>
    <t>Sigma</t>
  </si>
  <si>
    <t>b2'</t>
  </si>
  <si>
    <t>b3'</t>
  </si>
  <si>
    <t>b4'</t>
  </si>
  <si>
    <t>b5'</t>
  </si>
  <si>
    <t>b6'</t>
  </si>
  <si>
    <t>b7'</t>
  </si>
  <si>
    <t>b8'</t>
  </si>
  <si>
    <t>b9'</t>
  </si>
  <si>
    <t>b10'</t>
  </si>
  <si>
    <t>b11'</t>
  </si>
  <si>
    <t>b12'</t>
  </si>
  <si>
    <t>b13'</t>
  </si>
  <si>
    <t>b14'</t>
  </si>
  <si>
    <t>b15'</t>
  </si>
  <si>
    <t>a1'</t>
  </si>
  <si>
    <t>a2'</t>
  </si>
  <si>
    <t>a3'</t>
  </si>
  <si>
    <t>a4'</t>
  </si>
  <si>
    <t>a5'</t>
  </si>
  <si>
    <t>a6'</t>
  </si>
  <si>
    <t>a7'</t>
  </si>
  <si>
    <t>a8'</t>
  </si>
  <si>
    <t>a9'</t>
  </si>
  <si>
    <t>a10'</t>
  </si>
  <si>
    <t>a11'</t>
  </si>
  <si>
    <t>a12'</t>
  </si>
  <si>
    <t>a13'</t>
  </si>
  <si>
    <t>a14'</t>
  </si>
  <si>
    <t>a15'</t>
  </si>
  <si>
    <t>Coil Waviness</t>
  </si>
  <si>
    <t>alpha</t>
  </si>
  <si>
    <t>beta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</si>
</sst>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0.0000"/>
    <numFmt numFmtId="174" formatCode="0.#"/>
  </numFmts>
  <fonts count="6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.75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5"/>
        <bgColor indexed="64"/>
      </patternFill>
    </fill>
  </fills>
  <borders count="30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11" fontId="1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172" fontId="1" fillId="0" borderId="6" xfId="0" applyNumberFormat="1" applyFont="1" applyBorder="1" applyAlignment="1">
      <alignment horizontal="left"/>
    </xf>
    <xf numFmtId="1" fontId="1" fillId="0" borderId="6" xfId="0" applyNumberFormat="1" applyFont="1" applyBorder="1" applyAlignment="1">
      <alignment horizontal="left"/>
    </xf>
    <xf numFmtId="172" fontId="2" fillId="0" borderId="6" xfId="0" applyNumberFormat="1" applyFont="1" applyBorder="1" applyAlignment="1">
      <alignment horizontal="left"/>
    </xf>
    <xf numFmtId="172" fontId="1" fillId="0" borderId="7" xfId="0" applyNumberFormat="1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172" fontId="1" fillId="0" borderId="14" xfId="0" applyNumberFormat="1" applyFont="1" applyBorder="1" applyAlignment="1">
      <alignment horizontal="left"/>
    </xf>
    <xf numFmtId="1" fontId="1" fillId="0" borderId="14" xfId="0" applyNumberFormat="1" applyFont="1" applyBorder="1" applyAlignment="1">
      <alignment horizontal="left"/>
    </xf>
    <xf numFmtId="172" fontId="2" fillId="0" borderId="14" xfId="0" applyNumberFormat="1" applyFont="1" applyBorder="1" applyAlignment="1">
      <alignment horizontal="left"/>
    </xf>
    <xf numFmtId="172" fontId="1" fillId="0" borderId="15" xfId="0" applyNumberFormat="1" applyFont="1" applyBorder="1" applyAlignment="1">
      <alignment horizontal="left"/>
    </xf>
    <xf numFmtId="172" fontId="1" fillId="0" borderId="5" xfId="0" applyNumberFormat="1" applyFont="1" applyBorder="1" applyAlignment="1">
      <alignment horizontal="left"/>
    </xf>
    <xf numFmtId="1" fontId="1" fillId="0" borderId="5" xfId="0" applyNumberFormat="1" applyFont="1" applyBorder="1" applyAlignment="1">
      <alignment horizontal="left"/>
    </xf>
    <xf numFmtId="172" fontId="2" fillId="0" borderId="5" xfId="0" applyNumberFormat="1" applyFont="1" applyBorder="1" applyAlignment="1">
      <alignment horizontal="left"/>
    </xf>
    <xf numFmtId="172" fontId="1" fillId="0" borderId="16" xfId="0" applyNumberFormat="1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172" fontId="1" fillId="0" borderId="18" xfId="0" applyNumberFormat="1" applyFont="1" applyBorder="1" applyAlignment="1">
      <alignment horizontal="left"/>
    </xf>
    <xf numFmtId="1" fontId="1" fillId="0" borderId="18" xfId="0" applyNumberFormat="1" applyFont="1" applyBorder="1" applyAlignment="1">
      <alignment horizontal="left"/>
    </xf>
    <xf numFmtId="172" fontId="2" fillId="0" borderId="18" xfId="0" applyNumberFormat="1" applyFont="1" applyBorder="1" applyAlignment="1">
      <alignment horizontal="left"/>
    </xf>
    <xf numFmtId="172" fontId="1" fillId="0" borderId="19" xfId="0" applyNumberFormat="1" applyFont="1" applyBorder="1" applyAlignment="1">
      <alignment horizontal="left"/>
    </xf>
    <xf numFmtId="172" fontId="1" fillId="0" borderId="20" xfId="0" applyNumberFormat="1" applyFont="1" applyBorder="1" applyAlignment="1">
      <alignment horizontal="left"/>
    </xf>
    <xf numFmtId="172" fontId="1" fillId="0" borderId="21" xfId="0" applyNumberFormat="1" applyFont="1" applyBorder="1" applyAlignment="1">
      <alignment horizontal="left"/>
    </xf>
    <xf numFmtId="172" fontId="1" fillId="0" borderId="22" xfId="0" applyNumberFormat="1" applyFont="1" applyBorder="1" applyAlignment="1">
      <alignment horizontal="left"/>
    </xf>
    <xf numFmtId="1" fontId="1" fillId="0" borderId="23" xfId="0" applyNumberFormat="1" applyFont="1" applyBorder="1" applyAlignment="1">
      <alignment horizontal="left"/>
    </xf>
    <xf numFmtId="172" fontId="1" fillId="0" borderId="23" xfId="0" applyNumberFormat="1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172" fontId="1" fillId="0" borderId="25" xfId="0" applyNumberFormat="1" applyFont="1" applyBorder="1" applyAlignment="1">
      <alignment horizontal="left"/>
    </xf>
    <xf numFmtId="172" fontId="1" fillId="0" borderId="26" xfId="0" applyNumberFormat="1" applyFont="1" applyBorder="1" applyAlignment="1">
      <alignment horizontal="left"/>
    </xf>
    <xf numFmtId="172" fontId="1" fillId="0" borderId="27" xfId="0" applyNumberFormat="1" applyFont="1" applyBorder="1" applyAlignment="1">
      <alignment horizontal="left"/>
    </xf>
    <xf numFmtId="172" fontId="1" fillId="0" borderId="28" xfId="0" applyNumberFormat="1" applyFont="1" applyBorder="1" applyAlignment="1">
      <alignment horizontal="left"/>
    </xf>
    <xf numFmtId="172" fontId="1" fillId="2" borderId="5" xfId="0" applyNumberFormat="1" applyFont="1" applyFill="1" applyBorder="1" applyAlignment="1">
      <alignment horizontal="left"/>
    </xf>
    <xf numFmtId="172" fontId="1" fillId="2" borderId="6" xfId="0" applyNumberFormat="1" applyFont="1" applyFill="1" applyBorder="1" applyAlignment="1">
      <alignment horizontal="left"/>
    </xf>
    <xf numFmtId="172" fontId="1" fillId="2" borderId="14" xfId="0" applyNumberFormat="1" applyFont="1" applyFill="1" applyBorder="1" applyAlignment="1">
      <alignment horizontal="left"/>
    </xf>
    <xf numFmtId="173" fontId="3" fillId="0" borderId="29" xfId="0" applyNumberFormat="1" applyFont="1" applyBorder="1" applyAlignment="1">
      <alignment horizontal="left"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Result_HCMQAP!$A$8</c:f>
              <c:strCache>
                <c:ptCount val="1"/>
                <c:pt idx="0">
                  <c:v>b3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Result_HCMQAP!$B$8:$F$8</c:f>
              <c:numCache/>
            </c:numRef>
          </c:val>
          <c:smooth val="0"/>
        </c:ser>
        <c:ser>
          <c:idx val="1"/>
          <c:order val="1"/>
          <c:tx>
            <c:strRef>
              <c:f>Result_HCMQAP!$A$23</c:f>
              <c:strCache>
                <c:ptCount val="1"/>
                <c:pt idx="0">
                  <c:v>a3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Result_HCMQAP!$B$23:$F$23</c:f>
              <c:numCache/>
            </c:numRef>
          </c:val>
          <c:smooth val="0"/>
        </c:ser>
        <c:ser>
          <c:idx val="2"/>
          <c:order val="2"/>
          <c:tx>
            <c:strRef>
              <c:f>Result_HCMQAP!$A$11</c:f>
              <c:strCache>
                <c:ptCount val="1"/>
                <c:pt idx="0">
                  <c:v>b6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Result_HCMQAP!$B$11:$F$11</c:f>
              <c:numCache/>
            </c:numRef>
          </c:val>
          <c:smooth val="0"/>
        </c:ser>
        <c:ser>
          <c:idx val="3"/>
          <c:order val="3"/>
          <c:tx>
            <c:strRef>
              <c:f>Result_HCMQAP!$A$26</c:f>
              <c:strCache>
                <c:ptCount val="1"/>
                <c:pt idx="0">
                  <c:v>a6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Result_HCMQAP!$B$26:$F$26</c:f>
              <c:numCache/>
            </c:numRef>
          </c:val>
          <c:smooth val="0"/>
        </c:ser>
        <c:ser>
          <c:idx val="4"/>
          <c:order val="4"/>
          <c:tx>
            <c:strRef>
              <c:f>Result_HCMQAP!$A$9</c:f>
              <c:strCache>
                <c:ptCount val="1"/>
                <c:pt idx="0">
                  <c:v>b4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Result_HCMQAP!$B$9:$F$9</c:f>
              <c:numCache/>
            </c:numRef>
          </c:val>
          <c:smooth val="0"/>
        </c:ser>
        <c:ser>
          <c:idx val="5"/>
          <c:order val="5"/>
          <c:tx>
            <c:strRef>
              <c:f>Result_HCMQAP!$A$24</c:f>
              <c:strCache>
                <c:ptCount val="1"/>
                <c:pt idx="0">
                  <c:v>a4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Result_HCMQAP!$B$24:$F$24</c:f>
              <c:numCache/>
            </c:numRef>
          </c:val>
          <c:smooth val="0"/>
        </c:ser>
        <c:ser>
          <c:idx val="6"/>
          <c:order val="6"/>
          <c:tx>
            <c:strRef>
              <c:f>Result_HCMQAP!$A$10</c:f>
              <c:strCache>
                <c:ptCount val="1"/>
                <c:pt idx="0">
                  <c:v>b5!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Result_HCMQAP!$B$10:$F$10</c:f>
              <c:numCache/>
            </c:numRef>
          </c:val>
          <c:smooth val="0"/>
        </c:ser>
        <c:ser>
          <c:idx val="7"/>
          <c:order val="7"/>
          <c:tx>
            <c:strRef>
              <c:f>Result_HCMQAP!$A$25</c:f>
              <c:strCache>
                <c:ptCount val="1"/>
                <c:pt idx="0">
                  <c:v>a5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Result_HCMQAP!$B$25:$F$25</c:f>
              <c:numCache/>
            </c:numRef>
          </c:val>
          <c:smooth val="0"/>
        </c:ser>
        <c:marker val="1"/>
        <c:axId val="37037436"/>
        <c:axId val="64901469"/>
      </c:lineChart>
      <c:catAx>
        <c:axId val="3703743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4901469"/>
        <c:crosses val="autoZero"/>
        <c:auto val="1"/>
        <c:lblOffset val="100"/>
        <c:noMultiLvlLbl val="0"/>
      </c:catAx>
      <c:valAx>
        <c:axId val="649014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7037436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44</xdr:row>
      <xdr:rowOff>0</xdr:rowOff>
    </xdr:from>
    <xdr:to>
      <xdr:col>6</xdr:col>
      <xdr:colOff>647700</xdr:colOff>
      <xdr:row>62</xdr:row>
      <xdr:rowOff>28575</xdr:rowOff>
    </xdr:to>
    <xdr:graphicFrame>
      <xdr:nvGraphicFramePr>
        <xdr:cNvPr id="1" name="Chart 1"/>
        <xdr:cNvGraphicFramePr/>
      </xdr:nvGraphicFramePr>
      <xdr:xfrm>
        <a:off x="123825" y="6791325"/>
        <a:ext cx="559117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">
      <selection activeCell="A1" sqref="A1"/>
    </sheetView>
  </sheetViews>
  <sheetFormatPr defaultColWidth="9.140625" defaultRowHeight="12.75"/>
  <cols>
    <col min="1" max="1" width="14.57421875" style="4" customWidth="1"/>
    <col min="2" max="2" width="12.421875" style="1" customWidth="1"/>
    <col min="3" max="3" width="11.421875" style="1" customWidth="1"/>
    <col min="4" max="4" width="14.7109375" style="1" customWidth="1"/>
    <col min="5" max="16384" width="11.421875" style="1" customWidth="1"/>
  </cols>
  <sheetData>
    <row r="1" spans="1:5" ht="12">
      <c r="A1" s="4" t="s">
        <v>0</v>
      </c>
      <c r="C1" s="1" t="s">
        <v>2</v>
      </c>
      <c r="E1" s="1" t="s">
        <v>3</v>
      </c>
    </row>
    <row r="2" spans="3:5" ht="12.75" thickBot="1">
      <c r="C2" s="1" t="s">
        <v>1</v>
      </c>
      <c r="E2" s="1" t="s">
        <v>4</v>
      </c>
    </row>
    <row r="3" spans="1:7" ht="12">
      <c r="A3" s="18" t="s">
        <v>5</v>
      </c>
      <c r="B3" s="8" t="s">
        <v>6</v>
      </c>
      <c r="C3" s="9" t="s">
        <v>7</v>
      </c>
      <c r="D3" s="9" t="s">
        <v>8</v>
      </c>
      <c r="E3" s="9" t="s">
        <v>9</v>
      </c>
      <c r="F3" s="22" t="s">
        <v>10</v>
      </c>
      <c r="G3" s="32" t="s">
        <v>11</v>
      </c>
    </row>
    <row r="4" spans="1:7" ht="12">
      <c r="A4" s="19" t="s">
        <v>12</v>
      </c>
      <c r="B4" s="10">
        <v>-0.002258</v>
      </c>
      <c r="C4" s="11">
        <v>-0.003744</v>
      </c>
      <c r="D4" s="11">
        <v>-0.003743</v>
      </c>
      <c r="E4" s="11">
        <v>-0.003744</v>
      </c>
      <c r="F4" s="23">
        <v>-0.002073</v>
      </c>
      <c r="G4" s="33">
        <v>-0.011669</v>
      </c>
    </row>
    <row r="5" spans="1:7" ht="12.75" thickBot="1">
      <c r="A5" s="43" t="s">
        <v>13</v>
      </c>
      <c r="B5" s="44">
        <v>6.427619</v>
      </c>
      <c r="C5" s="45">
        <v>3.781249</v>
      </c>
      <c r="D5" s="45">
        <v>-0.147683</v>
      </c>
      <c r="E5" s="45">
        <v>-3.577973</v>
      </c>
      <c r="F5" s="46">
        <v>-7.017861</v>
      </c>
      <c r="G5" s="47">
        <v>4.736745</v>
      </c>
    </row>
    <row r="6" spans="1:7" ht="12.75" thickTop="1">
      <c r="A6" s="6" t="s">
        <v>14</v>
      </c>
      <c r="B6" s="38">
        <v>27.96799</v>
      </c>
      <c r="C6" s="39">
        <v>-13.14236</v>
      </c>
      <c r="D6" s="39">
        <v>0.4663516</v>
      </c>
      <c r="E6" s="39">
        <v>-18.90661</v>
      </c>
      <c r="F6" s="40">
        <v>26.554</v>
      </c>
      <c r="G6" s="41">
        <v>-0.00429824</v>
      </c>
    </row>
    <row r="7" spans="1:7" ht="12">
      <c r="A7" s="19" t="s">
        <v>15</v>
      </c>
      <c r="B7" s="29">
        <v>10000</v>
      </c>
      <c r="C7" s="13">
        <v>10000</v>
      </c>
      <c r="D7" s="13">
        <v>10000</v>
      </c>
      <c r="E7" s="13">
        <v>10000</v>
      </c>
      <c r="F7" s="25">
        <v>10000</v>
      </c>
      <c r="G7" s="35">
        <v>10000</v>
      </c>
    </row>
    <row r="8" spans="1:7" ht="12">
      <c r="A8" s="19" t="s">
        <v>16</v>
      </c>
      <c r="B8" s="28">
        <v>1.333087</v>
      </c>
      <c r="C8" s="12">
        <v>0.6155313</v>
      </c>
      <c r="D8" s="12">
        <v>1.114579</v>
      </c>
      <c r="E8" s="12">
        <v>2.28472</v>
      </c>
      <c r="F8" s="24">
        <v>0.6393375</v>
      </c>
      <c r="G8" s="34">
        <v>1.244535</v>
      </c>
    </row>
    <row r="9" spans="1:7" ht="12">
      <c r="A9" s="19" t="s">
        <v>17</v>
      </c>
      <c r="B9" s="28">
        <v>-0.2708466</v>
      </c>
      <c r="C9" s="12">
        <v>0.5849812</v>
      </c>
      <c r="D9" s="12">
        <v>-0.3067039</v>
      </c>
      <c r="E9" s="12">
        <v>-0.6280526</v>
      </c>
      <c r="F9" s="24">
        <v>-0.0003373593</v>
      </c>
      <c r="G9" s="34">
        <v>-0.1234385</v>
      </c>
    </row>
    <row r="10" spans="1:7" ht="12">
      <c r="A10" s="19" t="s">
        <v>18</v>
      </c>
      <c r="B10" s="48">
        <v>-0.9989122</v>
      </c>
      <c r="C10" s="49">
        <v>-0.0778837</v>
      </c>
      <c r="D10" s="49">
        <v>-0.8886137</v>
      </c>
      <c r="E10" s="49">
        <v>-2.263779</v>
      </c>
      <c r="F10" s="50">
        <v>-2.142536</v>
      </c>
      <c r="G10" s="34">
        <v>-1.207454</v>
      </c>
    </row>
    <row r="11" spans="1:7" ht="12">
      <c r="A11" s="20" t="s">
        <v>19</v>
      </c>
      <c r="B11" s="30">
        <v>2.008134</v>
      </c>
      <c r="C11" s="14">
        <v>0.2823246</v>
      </c>
      <c r="D11" s="14">
        <v>0.7379194</v>
      </c>
      <c r="E11" s="14">
        <v>-0.2796851</v>
      </c>
      <c r="F11" s="26">
        <v>12.55773</v>
      </c>
      <c r="G11" s="36">
        <v>2.14216</v>
      </c>
    </row>
    <row r="12" spans="1:7" ht="12">
      <c r="A12" s="19" t="s">
        <v>20</v>
      </c>
      <c r="B12" s="28">
        <v>0.2355772</v>
      </c>
      <c r="C12" s="12">
        <v>0.03674631</v>
      </c>
      <c r="D12" s="12">
        <v>-0.1566755</v>
      </c>
      <c r="E12" s="12">
        <v>-0.504742</v>
      </c>
      <c r="F12" s="24">
        <v>-0.2256485</v>
      </c>
      <c r="G12" s="34">
        <v>-0.1461598</v>
      </c>
    </row>
    <row r="13" spans="1:7" ht="12">
      <c r="A13" s="19" t="s">
        <v>21</v>
      </c>
      <c r="B13" s="28">
        <v>-0.08218257</v>
      </c>
      <c r="C13" s="12">
        <v>0.1274304</v>
      </c>
      <c r="D13" s="12">
        <v>-0.0061422</v>
      </c>
      <c r="E13" s="12">
        <v>-0.07829505</v>
      </c>
      <c r="F13" s="24">
        <v>-0.1569372</v>
      </c>
      <c r="G13" s="34">
        <v>-0.02246504</v>
      </c>
    </row>
    <row r="14" spans="1:7" ht="12">
      <c r="A14" s="19" t="s">
        <v>22</v>
      </c>
      <c r="B14" s="28">
        <v>-0.1108347</v>
      </c>
      <c r="C14" s="12">
        <v>-0.0554692</v>
      </c>
      <c r="D14" s="12">
        <v>-0.1001945</v>
      </c>
      <c r="E14" s="12">
        <v>-0.04533296</v>
      </c>
      <c r="F14" s="24">
        <v>0.003077586</v>
      </c>
      <c r="G14" s="34">
        <v>-0.06401907</v>
      </c>
    </row>
    <row r="15" spans="1:7" ht="12">
      <c r="A15" s="20" t="s">
        <v>23</v>
      </c>
      <c r="B15" s="30">
        <v>-0.475905</v>
      </c>
      <c r="C15" s="14">
        <v>-0.2701709</v>
      </c>
      <c r="D15" s="14">
        <v>-0.2281525</v>
      </c>
      <c r="E15" s="14">
        <v>-0.279544</v>
      </c>
      <c r="F15" s="26">
        <v>-0.4353113</v>
      </c>
      <c r="G15" s="36">
        <v>-0.3141558</v>
      </c>
    </row>
    <row r="16" spans="1:7" ht="12">
      <c r="A16" s="19" t="s">
        <v>24</v>
      </c>
      <c r="B16" s="28">
        <v>0.04068625</v>
      </c>
      <c r="C16" s="12">
        <v>0.02446131</v>
      </c>
      <c r="D16" s="12">
        <v>-0.003085303</v>
      </c>
      <c r="E16" s="12">
        <v>-0.0649494</v>
      </c>
      <c r="F16" s="24">
        <v>-0.06869557</v>
      </c>
      <c r="G16" s="34">
        <v>-0.01373194</v>
      </c>
    </row>
    <row r="17" spans="1:7" ht="12">
      <c r="A17" s="19" t="s">
        <v>25</v>
      </c>
      <c r="B17" s="28">
        <v>-0.01018386</v>
      </c>
      <c r="C17" s="12">
        <v>-0.02599965</v>
      </c>
      <c r="D17" s="12">
        <v>-0.009766711</v>
      </c>
      <c r="E17" s="12">
        <v>0.01293517</v>
      </c>
      <c r="F17" s="24">
        <v>-0.02428868</v>
      </c>
      <c r="G17" s="34">
        <v>-0.01019763</v>
      </c>
    </row>
    <row r="18" spans="1:7" ht="12">
      <c r="A18" s="19" t="s">
        <v>26</v>
      </c>
      <c r="B18" s="28">
        <v>0.01595663</v>
      </c>
      <c r="C18" s="12">
        <v>0.03395658</v>
      </c>
      <c r="D18" s="12">
        <v>0.03112348</v>
      </c>
      <c r="E18" s="12">
        <v>0.07080903</v>
      </c>
      <c r="F18" s="24">
        <v>0.007899798</v>
      </c>
      <c r="G18" s="34">
        <v>0.03607119</v>
      </c>
    </row>
    <row r="19" spans="1:7" ht="12">
      <c r="A19" s="20" t="s">
        <v>27</v>
      </c>
      <c r="B19" s="30">
        <v>-0.1947204</v>
      </c>
      <c r="C19" s="14">
        <v>-0.1722468</v>
      </c>
      <c r="D19" s="14">
        <v>-0.184102</v>
      </c>
      <c r="E19" s="14">
        <v>-0.1869117</v>
      </c>
      <c r="F19" s="26">
        <v>-0.1447059</v>
      </c>
      <c r="G19" s="36">
        <v>-0.1782192</v>
      </c>
    </row>
    <row r="20" spans="1:7" ht="12.75" thickBot="1">
      <c r="A20" s="43" t="s">
        <v>28</v>
      </c>
      <c r="B20" s="44">
        <v>-0.000722035</v>
      </c>
      <c r="C20" s="45">
        <v>0.0002588166</v>
      </c>
      <c r="D20" s="45">
        <v>0.004884984</v>
      </c>
      <c r="E20" s="45">
        <v>0.005158413</v>
      </c>
      <c r="F20" s="46">
        <v>0.002986039</v>
      </c>
      <c r="G20" s="47">
        <v>0.002771558</v>
      </c>
    </row>
    <row r="21" spans="1:7" ht="12.75" thickTop="1">
      <c r="A21" s="6" t="s">
        <v>29</v>
      </c>
      <c r="B21" s="38">
        <v>-66.78558</v>
      </c>
      <c r="C21" s="39">
        <v>46.8851</v>
      </c>
      <c r="D21" s="39">
        <v>16.98672</v>
      </c>
      <c r="E21" s="39">
        <v>-22.0306</v>
      </c>
      <c r="F21" s="40">
        <v>-2.787024</v>
      </c>
      <c r="G21" s="42">
        <v>0.004394727</v>
      </c>
    </row>
    <row r="22" spans="1:7" ht="12">
      <c r="A22" s="19" t="s">
        <v>30</v>
      </c>
      <c r="B22" s="28">
        <v>128.5595</v>
      </c>
      <c r="C22" s="12">
        <v>75.62642</v>
      </c>
      <c r="D22" s="12">
        <v>-2.953656</v>
      </c>
      <c r="E22" s="12">
        <v>-71.56069</v>
      </c>
      <c r="F22" s="24">
        <v>-140.3664</v>
      </c>
      <c r="G22" s="35">
        <v>0</v>
      </c>
    </row>
    <row r="23" spans="1:7" ht="12">
      <c r="A23" s="19" t="s">
        <v>31</v>
      </c>
      <c r="B23" s="28">
        <v>5.370715</v>
      </c>
      <c r="C23" s="12">
        <v>1.716541</v>
      </c>
      <c r="D23" s="12">
        <v>2.113599</v>
      </c>
      <c r="E23" s="12">
        <v>-1.574069</v>
      </c>
      <c r="F23" s="24">
        <v>7.347426</v>
      </c>
      <c r="G23" s="34">
        <v>2.300425</v>
      </c>
    </row>
    <row r="24" spans="1:7" ht="12">
      <c r="A24" s="19" t="s">
        <v>32</v>
      </c>
      <c r="B24" s="28">
        <v>1.211031</v>
      </c>
      <c r="C24" s="12">
        <v>0.660675</v>
      </c>
      <c r="D24" s="12">
        <v>-0.1365426</v>
      </c>
      <c r="E24" s="12">
        <v>0.2920716</v>
      </c>
      <c r="F24" s="24">
        <v>4.171176</v>
      </c>
      <c r="G24" s="34">
        <v>0.9276816</v>
      </c>
    </row>
    <row r="25" spans="1:7" ht="12">
      <c r="A25" s="19" t="s">
        <v>33</v>
      </c>
      <c r="B25" s="28">
        <v>1.052465</v>
      </c>
      <c r="C25" s="12">
        <v>0.5627654</v>
      </c>
      <c r="D25" s="12">
        <v>0.4844114</v>
      </c>
      <c r="E25" s="12">
        <v>-1.137943</v>
      </c>
      <c r="F25" s="24">
        <v>-0.9172009</v>
      </c>
      <c r="G25" s="34">
        <v>0.008702788</v>
      </c>
    </row>
    <row r="26" spans="1:7" ht="12">
      <c r="A26" s="20" t="s">
        <v>34</v>
      </c>
      <c r="B26" s="30">
        <v>0.3583736</v>
      </c>
      <c r="C26" s="14">
        <v>0.803819</v>
      </c>
      <c r="D26" s="14">
        <v>0.4727955</v>
      </c>
      <c r="E26" s="14">
        <v>0.4939494</v>
      </c>
      <c r="F26" s="26">
        <v>2.230668</v>
      </c>
      <c r="G26" s="36">
        <v>0.7749267</v>
      </c>
    </row>
    <row r="27" spans="1:7" ht="12">
      <c r="A27" s="19" t="s">
        <v>35</v>
      </c>
      <c r="B27" s="28">
        <v>-0.2628239</v>
      </c>
      <c r="C27" s="12">
        <v>0.1316254</v>
      </c>
      <c r="D27" s="12">
        <v>0.09894738</v>
      </c>
      <c r="E27" s="12">
        <v>0.06762963</v>
      </c>
      <c r="F27" s="24">
        <v>0.2203857</v>
      </c>
      <c r="G27" s="34">
        <v>0.06297362</v>
      </c>
    </row>
    <row r="28" spans="1:7" ht="12">
      <c r="A28" s="19" t="s">
        <v>36</v>
      </c>
      <c r="B28" s="28">
        <v>0.2160361</v>
      </c>
      <c r="C28" s="12">
        <v>0.2589761</v>
      </c>
      <c r="D28" s="12">
        <v>0.1745432</v>
      </c>
      <c r="E28" s="12">
        <v>0.0679838</v>
      </c>
      <c r="F28" s="24">
        <v>0.4298506</v>
      </c>
      <c r="G28" s="34">
        <v>0.2092462</v>
      </c>
    </row>
    <row r="29" spans="1:7" ht="12">
      <c r="A29" s="19" t="s">
        <v>37</v>
      </c>
      <c r="B29" s="28">
        <v>0.111054</v>
      </c>
      <c r="C29" s="12">
        <v>-0.001476169</v>
      </c>
      <c r="D29" s="12">
        <v>0.05871335</v>
      </c>
      <c r="E29" s="12">
        <v>-0.00126176</v>
      </c>
      <c r="F29" s="24">
        <v>-0.007545871</v>
      </c>
      <c r="G29" s="34">
        <v>0.02857625</v>
      </c>
    </row>
    <row r="30" spans="1:7" ht="12">
      <c r="A30" s="20" t="s">
        <v>38</v>
      </c>
      <c r="B30" s="30">
        <v>-8.239499E-05</v>
      </c>
      <c r="C30" s="14">
        <v>0.1547854</v>
      </c>
      <c r="D30" s="14">
        <v>0.0004528834</v>
      </c>
      <c r="E30" s="14">
        <v>-0.01287997</v>
      </c>
      <c r="F30" s="26">
        <v>0.3512368</v>
      </c>
      <c r="G30" s="36">
        <v>0.08105687</v>
      </c>
    </row>
    <row r="31" spans="1:7" ht="12">
      <c r="A31" s="19" t="s">
        <v>39</v>
      </c>
      <c r="B31" s="28">
        <v>-0.07331197</v>
      </c>
      <c r="C31" s="12">
        <v>0.002506215</v>
      </c>
      <c r="D31" s="12">
        <v>0.0008181296</v>
      </c>
      <c r="E31" s="12">
        <v>0.01109319</v>
      </c>
      <c r="F31" s="24">
        <v>0.01548999</v>
      </c>
      <c r="G31" s="34">
        <v>-0.005102608</v>
      </c>
    </row>
    <row r="32" spans="1:7" ht="12">
      <c r="A32" s="19" t="s">
        <v>40</v>
      </c>
      <c r="B32" s="28">
        <v>0.06397151</v>
      </c>
      <c r="C32" s="12">
        <v>0.06514003</v>
      </c>
      <c r="D32" s="12">
        <v>0.06821017</v>
      </c>
      <c r="E32" s="12">
        <v>0.02981377</v>
      </c>
      <c r="F32" s="24">
        <v>0.0387276</v>
      </c>
      <c r="G32" s="34">
        <v>0.05369243</v>
      </c>
    </row>
    <row r="33" spans="1:7" ht="12">
      <c r="A33" s="19" t="s">
        <v>41</v>
      </c>
      <c r="B33" s="28">
        <v>0.08523102</v>
      </c>
      <c r="C33" s="12">
        <v>0.06415976</v>
      </c>
      <c r="D33" s="12">
        <v>0.07255455</v>
      </c>
      <c r="E33" s="12">
        <v>0.1070771</v>
      </c>
      <c r="F33" s="24">
        <v>0.04761248</v>
      </c>
      <c r="G33" s="34">
        <v>0.07735296</v>
      </c>
    </row>
    <row r="34" spans="1:7" ht="12">
      <c r="A34" s="20" t="s">
        <v>42</v>
      </c>
      <c r="B34" s="30">
        <v>-0.01606646</v>
      </c>
      <c r="C34" s="14">
        <v>0.002098425</v>
      </c>
      <c r="D34" s="14">
        <v>-0.004395871</v>
      </c>
      <c r="E34" s="14">
        <v>0.005339014</v>
      </c>
      <c r="F34" s="26">
        <v>-0.003260372</v>
      </c>
      <c r="G34" s="36">
        <v>-0.002005322</v>
      </c>
    </row>
    <row r="35" spans="1:7" ht="12.75" thickBot="1">
      <c r="A35" s="21" t="s">
        <v>43</v>
      </c>
      <c r="B35" s="31">
        <v>0.0005052276</v>
      </c>
      <c r="C35" s="15">
        <v>0.00408109</v>
      </c>
      <c r="D35" s="15">
        <v>0.004382359</v>
      </c>
      <c r="E35" s="15">
        <v>-0.005862537</v>
      </c>
      <c r="F35" s="27">
        <v>0.00527216</v>
      </c>
      <c r="G35" s="37">
        <v>0.001400413</v>
      </c>
    </row>
    <row r="36" spans="1:7" ht="12">
      <c r="A36" s="4" t="s">
        <v>44</v>
      </c>
      <c r="B36" s="3">
        <v>21.75598</v>
      </c>
      <c r="C36" s="3">
        <v>21.74988</v>
      </c>
      <c r="D36" s="3">
        <v>21.75293</v>
      </c>
      <c r="E36" s="3">
        <v>21.74683</v>
      </c>
      <c r="F36" s="3">
        <v>21.75903</v>
      </c>
      <c r="G36" s="3"/>
    </row>
    <row r="37" spans="1:6" ht="12">
      <c r="A37" s="4" t="s">
        <v>45</v>
      </c>
      <c r="B37" s="2">
        <v>-0.09816488</v>
      </c>
      <c r="C37" s="2">
        <v>-0.06561279</v>
      </c>
      <c r="D37" s="2">
        <v>-0.04577637</v>
      </c>
      <c r="E37" s="2">
        <v>-0.03967285</v>
      </c>
      <c r="F37" s="2">
        <v>-0.03611247</v>
      </c>
    </row>
    <row r="38" spans="1:7" ht="12">
      <c r="A38" s="4" t="s">
        <v>54</v>
      </c>
      <c r="B38" s="2">
        <v>-4.607837E-05</v>
      </c>
      <c r="C38" s="2">
        <v>2.173799E-05</v>
      </c>
      <c r="D38" s="2">
        <v>0</v>
      </c>
      <c r="E38" s="2">
        <v>3.18716E-05</v>
      </c>
      <c r="F38" s="2">
        <v>-4.51994E-05</v>
      </c>
      <c r="G38" s="2">
        <v>0.0002401072</v>
      </c>
    </row>
    <row r="39" spans="1:7" ht="12.75" thickBot="1">
      <c r="A39" s="4" t="s">
        <v>55</v>
      </c>
      <c r="B39" s="2">
        <v>0.0001141279</v>
      </c>
      <c r="C39" s="2">
        <v>-7.986906E-05</v>
      </c>
      <c r="D39" s="2">
        <v>-2.887765E-05</v>
      </c>
      <c r="E39" s="2">
        <v>3.768009E-05</v>
      </c>
      <c r="F39" s="2">
        <v>0</v>
      </c>
      <c r="G39" s="2">
        <v>0.0007827132</v>
      </c>
    </row>
    <row r="40" spans="2:7" ht="12.75" thickBot="1">
      <c r="B40" s="7" t="s">
        <v>46</v>
      </c>
      <c r="C40" s="17">
        <v>-0.003744</v>
      </c>
      <c r="D40" s="16" t="s">
        <v>47</v>
      </c>
      <c r="E40" s="17">
        <v>3.117245</v>
      </c>
      <c r="F40" s="16" t="s">
        <v>48</v>
      </c>
      <c r="G40" s="51" t="s">
        <v>49</v>
      </c>
    </row>
    <row r="41" spans="1:6" ht="12">
      <c r="A41" s="5" t="s">
        <v>52</v>
      </c>
      <c r="F41" s="1" t="s">
        <v>53</v>
      </c>
    </row>
    <row r="42" spans="1:6" ht="12">
      <c r="A42" s="4" t="s">
        <v>50</v>
      </c>
      <c r="B42" s="1">
        <v>10</v>
      </c>
      <c r="C42" s="1">
        <v>10</v>
      </c>
      <c r="D42" s="1">
        <v>10</v>
      </c>
      <c r="E42" s="1">
        <v>10</v>
      </c>
      <c r="F42" s="1">
        <v>10</v>
      </c>
    </row>
    <row r="43" spans="1:7" ht="12">
      <c r="A43" s="4" t="s">
        <v>51</v>
      </c>
      <c r="B43" s="1">
        <v>12.507</v>
      </c>
      <c r="C43" s="1">
        <v>12.507</v>
      </c>
      <c r="D43" s="1">
        <v>12.507</v>
      </c>
      <c r="E43" s="1">
        <v>12.507</v>
      </c>
      <c r="F43" s="1">
        <v>12.507</v>
      </c>
      <c r="G43" s="1">
        <v>12.507</v>
      </c>
    </row>
  </sheetData>
  <printOptions/>
  <pageMargins left="0.708661417322835" right="0.708661417322835" top="0.590551181102362" bottom="0.590551181102362" header="0" footer="0.511811023622047"/>
  <pageSetup orientation="portrait" paperSize="9" r:id="rId2"/>
  <headerFooter alignWithMargins="0">
    <oddFooter>&amp;L&amp;F&amp;C&amp;J&amp;R&amp;A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5"/>
  <sheetViews>
    <sheetView tabSelected="1" workbookViewId="0" topLeftCell="A1">
      <selection activeCell="A1" sqref="A1"/>
    </sheetView>
  </sheetViews>
  <sheetFormatPr defaultColWidth="9.140625" defaultRowHeight="12.75"/>
  <cols>
    <col min="1" max="1" width="80.28125" style="0" bestFit="1" customWidth="1"/>
    <col min="2" max="3" width="13.140625" style="0" bestFit="1" customWidth="1"/>
    <col min="4" max="4" width="13.7109375" style="0" bestFit="1" customWidth="1"/>
    <col min="5" max="5" width="18.28125" style="0" bestFit="1" customWidth="1"/>
    <col min="6" max="6" width="13.140625" style="0" bestFit="1" customWidth="1"/>
    <col min="7" max="7" width="12.57421875" style="0" bestFit="1" customWidth="1"/>
    <col min="8" max="8" width="12.00390625" style="0" bestFit="1" customWidth="1"/>
    <col min="9" max="9" width="12.57421875" style="0" bestFit="1" customWidth="1"/>
    <col min="10" max="10" width="7.00390625" style="0" bestFit="1" customWidth="1"/>
    <col min="11" max="11" width="12.7109375" style="0" bestFit="1" customWidth="1"/>
  </cols>
  <sheetData>
    <row r="1" spans="1:5" ht="12.7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3" spans="1:7" ht="12.75">
      <c r="A3" t="s">
        <v>5</v>
      </c>
      <c r="B3" t="s">
        <v>6</v>
      </c>
      <c r="C3" t="s">
        <v>7</v>
      </c>
      <c r="D3" t="s">
        <v>8</v>
      </c>
      <c r="E3" t="s">
        <v>9</v>
      </c>
      <c r="F3" t="s">
        <v>10</v>
      </c>
      <c r="G3" t="s">
        <v>11</v>
      </c>
    </row>
    <row r="4" spans="1:7" ht="12.75">
      <c r="A4" t="s">
        <v>12</v>
      </c>
      <c r="B4">
        <v>0.002258</v>
      </c>
      <c r="C4">
        <v>0.003744</v>
      </c>
      <c r="D4">
        <v>0.003743</v>
      </c>
      <c r="E4">
        <v>0.003744</v>
      </c>
      <c r="F4">
        <v>0.002073</v>
      </c>
      <c r="G4">
        <v>0.011669</v>
      </c>
    </row>
    <row r="5" spans="1:7" ht="12.75">
      <c r="A5" t="s">
        <v>13</v>
      </c>
      <c r="B5">
        <v>6.427619</v>
      </c>
      <c r="C5">
        <v>3.781249</v>
      </c>
      <c r="D5">
        <v>-0.147683</v>
      </c>
      <c r="E5">
        <v>-3.577973</v>
      </c>
      <c r="F5">
        <v>-7.017861</v>
      </c>
      <c r="G5">
        <v>4.736745</v>
      </c>
    </row>
    <row r="6" spans="1:7" ht="12.75">
      <c r="A6" t="s">
        <v>14</v>
      </c>
      <c r="B6" s="52">
        <v>27.96799</v>
      </c>
      <c r="C6" s="52">
        <v>-13.14236</v>
      </c>
      <c r="D6" s="52">
        <v>0.4663516</v>
      </c>
      <c r="E6" s="52">
        <v>-18.90661</v>
      </c>
      <c r="F6" s="52">
        <v>26.554</v>
      </c>
      <c r="G6" s="52">
        <v>-0.00429824</v>
      </c>
    </row>
    <row r="7" spans="1:7" ht="12.75">
      <c r="A7" t="s">
        <v>15</v>
      </c>
      <c r="B7" s="52">
        <v>10000</v>
      </c>
      <c r="C7" s="52">
        <v>10000</v>
      </c>
      <c r="D7" s="52">
        <v>10000</v>
      </c>
      <c r="E7" s="52">
        <v>10000</v>
      </c>
      <c r="F7" s="52">
        <v>10000</v>
      </c>
      <c r="G7" s="52">
        <v>10000</v>
      </c>
    </row>
    <row r="8" spans="1:7" ht="12.75">
      <c r="A8" t="s">
        <v>16</v>
      </c>
      <c r="B8" s="52">
        <v>1.333087</v>
      </c>
      <c r="C8" s="52">
        <v>0.6155313</v>
      </c>
      <c r="D8" s="52">
        <v>1.114579</v>
      </c>
      <c r="E8" s="52">
        <v>2.28472</v>
      </c>
      <c r="F8" s="52">
        <v>0.6393375</v>
      </c>
      <c r="G8" s="52">
        <v>1.244535</v>
      </c>
    </row>
    <row r="9" spans="1:7" ht="12.75">
      <c r="A9" t="s">
        <v>17</v>
      </c>
      <c r="B9" s="52">
        <v>-0.2708466</v>
      </c>
      <c r="C9" s="52">
        <v>0.5849812</v>
      </c>
      <c r="D9" s="52">
        <v>-0.3067039</v>
      </c>
      <c r="E9" s="52">
        <v>-0.6280526</v>
      </c>
      <c r="F9" s="52">
        <v>-0.0003373593</v>
      </c>
      <c r="G9" s="52">
        <v>-0.1234385</v>
      </c>
    </row>
    <row r="10" spans="1:7" ht="12.75">
      <c r="A10" t="s">
        <v>18</v>
      </c>
      <c r="B10" s="52">
        <v>-0.9989122</v>
      </c>
      <c r="C10" s="52">
        <v>-0.0778837</v>
      </c>
      <c r="D10" s="52">
        <v>-0.8886137</v>
      </c>
      <c r="E10" s="52">
        <v>-2.263779</v>
      </c>
      <c r="F10" s="52">
        <v>-2.142536</v>
      </c>
      <c r="G10" s="52">
        <v>-1.207454</v>
      </c>
    </row>
    <row r="11" spans="1:7" ht="12.75">
      <c r="A11" t="s">
        <v>19</v>
      </c>
      <c r="B11" s="52">
        <v>2.008134</v>
      </c>
      <c r="C11" s="52">
        <v>0.2823246</v>
      </c>
      <c r="D11" s="52">
        <v>0.7379194</v>
      </c>
      <c r="E11" s="52">
        <v>-0.2796851</v>
      </c>
      <c r="F11" s="52">
        <v>12.55773</v>
      </c>
      <c r="G11" s="52">
        <v>2.14216</v>
      </c>
    </row>
    <row r="12" spans="1:7" ht="12.75">
      <c r="A12" t="s">
        <v>20</v>
      </c>
      <c r="B12" s="52">
        <v>0.2355772</v>
      </c>
      <c r="C12" s="52">
        <v>0.03674631</v>
      </c>
      <c r="D12" s="52">
        <v>-0.1566755</v>
      </c>
      <c r="E12" s="52">
        <v>-0.504742</v>
      </c>
      <c r="F12" s="52">
        <v>-0.2256485</v>
      </c>
      <c r="G12" s="52">
        <v>-0.1461598</v>
      </c>
    </row>
    <row r="13" spans="1:7" ht="12.75">
      <c r="A13" t="s">
        <v>21</v>
      </c>
      <c r="B13" s="52">
        <v>-0.08218257</v>
      </c>
      <c r="C13" s="52">
        <v>0.1274304</v>
      </c>
      <c r="D13" s="52">
        <v>-0.0061422</v>
      </c>
      <c r="E13" s="52">
        <v>-0.07829505</v>
      </c>
      <c r="F13" s="52">
        <v>-0.1569372</v>
      </c>
      <c r="G13" s="52">
        <v>-0.02246504</v>
      </c>
    </row>
    <row r="14" spans="1:7" ht="12.75">
      <c r="A14" t="s">
        <v>22</v>
      </c>
      <c r="B14" s="52">
        <v>-0.1108347</v>
      </c>
      <c r="C14" s="52">
        <v>-0.0554692</v>
      </c>
      <c r="D14" s="52">
        <v>-0.1001945</v>
      </c>
      <c r="E14" s="52">
        <v>-0.04533296</v>
      </c>
      <c r="F14" s="52">
        <v>0.003077586</v>
      </c>
      <c r="G14" s="52">
        <v>-0.06401907</v>
      </c>
    </row>
    <row r="15" spans="1:7" ht="12.75">
      <c r="A15" t="s">
        <v>23</v>
      </c>
      <c r="B15" s="52">
        <v>-0.475905</v>
      </c>
      <c r="C15" s="52">
        <v>-0.2701709</v>
      </c>
      <c r="D15" s="52">
        <v>-0.2281525</v>
      </c>
      <c r="E15" s="52">
        <v>-0.279544</v>
      </c>
      <c r="F15" s="52">
        <v>-0.4353113</v>
      </c>
      <c r="G15" s="52">
        <v>-0.3141558</v>
      </c>
    </row>
    <row r="16" spans="1:7" ht="12.75">
      <c r="A16" t="s">
        <v>24</v>
      </c>
      <c r="B16" s="52">
        <v>0.04068625</v>
      </c>
      <c r="C16" s="52">
        <v>0.02446131</v>
      </c>
      <c r="D16" s="52">
        <v>-0.003085303</v>
      </c>
      <c r="E16" s="52">
        <v>-0.0649494</v>
      </c>
      <c r="F16" s="52">
        <v>-0.06869557</v>
      </c>
      <c r="G16" s="52">
        <v>-0.01373194</v>
      </c>
    </row>
    <row r="17" spans="1:7" ht="12.75">
      <c r="A17" t="s">
        <v>25</v>
      </c>
      <c r="B17" s="52">
        <v>-0.01018386</v>
      </c>
      <c r="C17" s="52">
        <v>-0.02599965</v>
      </c>
      <c r="D17" s="52">
        <v>-0.009766711</v>
      </c>
      <c r="E17" s="52">
        <v>0.01293517</v>
      </c>
      <c r="F17" s="52">
        <v>-0.02428868</v>
      </c>
      <c r="G17" s="52">
        <v>-0.01019763</v>
      </c>
    </row>
    <row r="18" spans="1:7" ht="12.75">
      <c r="A18" t="s">
        <v>26</v>
      </c>
      <c r="B18" s="52">
        <v>0.01595663</v>
      </c>
      <c r="C18" s="52">
        <v>0.03395658</v>
      </c>
      <c r="D18" s="52">
        <v>0.03112348</v>
      </c>
      <c r="E18" s="52">
        <v>0.07080903</v>
      </c>
      <c r="F18" s="52">
        <v>0.007899798</v>
      </c>
      <c r="G18" s="52">
        <v>0.03607119</v>
      </c>
    </row>
    <row r="19" spans="1:7" ht="12.75">
      <c r="A19" t="s">
        <v>27</v>
      </c>
      <c r="B19" s="52">
        <v>-0.1947204</v>
      </c>
      <c r="C19" s="52">
        <v>-0.1722468</v>
      </c>
      <c r="D19" s="52">
        <v>-0.184102</v>
      </c>
      <c r="E19" s="52">
        <v>-0.1869117</v>
      </c>
      <c r="F19" s="52">
        <v>-0.1447059</v>
      </c>
      <c r="G19" s="52">
        <v>-0.1782192</v>
      </c>
    </row>
    <row r="20" spans="1:7" ht="12.75">
      <c r="A20" t="s">
        <v>28</v>
      </c>
      <c r="B20" s="52">
        <v>-0.000722035</v>
      </c>
      <c r="C20" s="52">
        <v>0.0002588166</v>
      </c>
      <c r="D20" s="52">
        <v>0.004884984</v>
      </c>
      <c r="E20" s="52">
        <v>0.005158413</v>
      </c>
      <c r="F20" s="52">
        <v>0.002986039</v>
      </c>
      <c r="G20" s="52">
        <v>0.002771558</v>
      </c>
    </row>
    <row r="21" spans="1:7" ht="12.75">
      <c r="A21" t="s">
        <v>29</v>
      </c>
      <c r="B21" s="52">
        <v>-66.78558</v>
      </c>
      <c r="C21" s="52">
        <v>46.8851</v>
      </c>
      <c r="D21" s="52">
        <v>16.98672</v>
      </c>
      <c r="E21" s="52">
        <v>-22.0306</v>
      </c>
      <c r="F21" s="52">
        <v>-2.787024</v>
      </c>
      <c r="G21" s="52">
        <v>0.004394727</v>
      </c>
    </row>
    <row r="22" spans="1:7" ht="12.75">
      <c r="A22" t="s">
        <v>30</v>
      </c>
      <c r="B22" s="52">
        <v>128.5595</v>
      </c>
      <c r="C22" s="52">
        <v>75.62642</v>
      </c>
      <c r="D22" s="52">
        <v>-2.953656</v>
      </c>
      <c r="E22" s="52">
        <v>-71.56069</v>
      </c>
      <c r="F22" s="52">
        <v>-140.3664</v>
      </c>
      <c r="G22" s="52">
        <v>0</v>
      </c>
    </row>
    <row r="23" spans="1:7" ht="12.75">
      <c r="A23" t="s">
        <v>31</v>
      </c>
      <c r="B23" s="52">
        <v>5.370715</v>
      </c>
      <c r="C23" s="52">
        <v>1.716541</v>
      </c>
      <c r="D23" s="52">
        <v>2.113599</v>
      </c>
      <c r="E23" s="52">
        <v>-1.574069</v>
      </c>
      <c r="F23" s="52">
        <v>7.347426</v>
      </c>
      <c r="G23" s="52">
        <v>2.300425</v>
      </c>
    </row>
    <row r="24" spans="1:7" ht="12.75">
      <c r="A24" t="s">
        <v>32</v>
      </c>
      <c r="B24" s="52">
        <v>1.211031</v>
      </c>
      <c r="C24" s="52">
        <v>0.660675</v>
      </c>
      <c r="D24" s="52">
        <v>-0.1365426</v>
      </c>
      <c r="E24" s="52">
        <v>0.2920716</v>
      </c>
      <c r="F24" s="52">
        <v>4.171176</v>
      </c>
      <c r="G24" s="52">
        <v>0.9276816</v>
      </c>
    </row>
    <row r="25" spans="1:7" ht="12.75">
      <c r="A25" t="s">
        <v>33</v>
      </c>
      <c r="B25" s="52">
        <v>1.052465</v>
      </c>
      <c r="C25" s="52">
        <v>0.5627654</v>
      </c>
      <c r="D25" s="52">
        <v>0.4844114</v>
      </c>
      <c r="E25" s="52">
        <v>-1.137943</v>
      </c>
      <c r="F25" s="52">
        <v>-0.9172009</v>
      </c>
      <c r="G25" s="52">
        <v>0.008702788</v>
      </c>
    </row>
    <row r="26" spans="1:7" ht="12.75">
      <c r="A26" t="s">
        <v>34</v>
      </c>
      <c r="B26" s="52">
        <v>0.3583736</v>
      </c>
      <c r="C26" s="52">
        <v>0.803819</v>
      </c>
      <c r="D26" s="52">
        <v>0.4727955</v>
      </c>
      <c r="E26" s="52">
        <v>0.4939494</v>
      </c>
      <c r="F26" s="52">
        <v>2.230668</v>
      </c>
      <c r="G26" s="52">
        <v>0.7749267</v>
      </c>
    </row>
    <row r="27" spans="1:7" ht="12.75">
      <c r="A27" t="s">
        <v>35</v>
      </c>
      <c r="B27" s="52">
        <v>-0.2628239</v>
      </c>
      <c r="C27" s="52">
        <v>0.1316254</v>
      </c>
      <c r="D27" s="52">
        <v>0.09894738</v>
      </c>
      <c r="E27" s="52">
        <v>0.06762963</v>
      </c>
      <c r="F27" s="52">
        <v>0.2203857</v>
      </c>
      <c r="G27" s="52">
        <v>0.06297362</v>
      </c>
    </row>
    <row r="28" spans="1:7" ht="12.75">
      <c r="A28" t="s">
        <v>36</v>
      </c>
      <c r="B28" s="52">
        <v>0.2160361</v>
      </c>
      <c r="C28" s="52">
        <v>0.2589761</v>
      </c>
      <c r="D28" s="52">
        <v>0.1745432</v>
      </c>
      <c r="E28" s="52">
        <v>0.0679838</v>
      </c>
      <c r="F28" s="52">
        <v>0.4298506</v>
      </c>
      <c r="G28" s="52">
        <v>0.2092462</v>
      </c>
    </row>
    <row r="29" spans="1:7" ht="12.75">
      <c r="A29" t="s">
        <v>37</v>
      </c>
      <c r="B29" s="52">
        <v>0.111054</v>
      </c>
      <c r="C29" s="52">
        <v>-0.001476169</v>
      </c>
      <c r="D29" s="52">
        <v>0.05871335</v>
      </c>
      <c r="E29" s="52">
        <v>-0.00126176</v>
      </c>
      <c r="F29" s="52">
        <v>-0.007545871</v>
      </c>
      <c r="G29" s="52">
        <v>0.02857625</v>
      </c>
    </row>
    <row r="30" spans="1:7" ht="12.75">
      <c r="A30" t="s">
        <v>38</v>
      </c>
      <c r="B30" s="52">
        <v>-8.239499E-05</v>
      </c>
      <c r="C30" s="52">
        <v>0.1547854</v>
      </c>
      <c r="D30" s="52">
        <v>0.0004528834</v>
      </c>
      <c r="E30" s="52">
        <v>-0.01287997</v>
      </c>
      <c r="F30" s="52">
        <v>0.3512368</v>
      </c>
      <c r="G30" s="52">
        <v>0.08105687</v>
      </c>
    </row>
    <row r="31" spans="1:7" ht="12.75">
      <c r="A31" t="s">
        <v>39</v>
      </c>
      <c r="B31" s="52">
        <v>-0.07331197</v>
      </c>
      <c r="C31" s="52">
        <v>0.002506215</v>
      </c>
      <c r="D31" s="52">
        <v>0.0008181296</v>
      </c>
      <c r="E31" s="52">
        <v>0.01109319</v>
      </c>
      <c r="F31" s="52">
        <v>0.01548999</v>
      </c>
      <c r="G31" s="52">
        <v>-0.005102608</v>
      </c>
    </row>
    <row r="32" spans="1:7" ht="12.75">
      <c r="A32" t="s">
        <v>40</v>
      </c>
      <c r="B32" s="52">
        <v>0.06397151</v>
      </c>
      <c r="C32" s="52">
        <v>0.06514003</v>
      </c>
      <c r="D32" s="52">
        <v>0.06821017</v>
      </c>
      <c r="E32" s="52">
        <v>0.02981377</v>
      </c>
      <c r="F32" s="52">
        <v>0.0387276</v>
      </c>
      <c r="G32" s="52">
        <v>0.05369243</v>
      </c>
    </row>
    <row r="33" spans="1:7" ht="12.75">
      <c r="A33" t="s">
        <v>41</v>
      </c>
      <c r="B33" s="52">
        <v>0.08523102</v>
      </c>
      <c r="C33" s="52">
        <v>0.06415976</v>
      </c>
      <c r="D33" s="52">
        <v>0.07255455</v>
      </c>
      <c r="E33" s="52">
        <v>0.1070771</v>
      </c>
      <c r="F33" s="52">
        <v>0.04761248</v>
      </c>
      <c r="G33" s="52">
        <v>0.07735296</v>
      </c>
    </row>
    <row r="34" spans="1:7" ht="12.75">
      <c r="A34" t="s">
        <v>42</v>
      </c>
      <c r="B34" s="52">
        <v>-0.01606646</v>
      </c>
      <c r="C34" s="52">
        <v>0.002098425</v>
      </c>
      <c r="D34" s="52">
        <v>-0.004395871</v>
      </c>
      <c r="E34" s="52">
        <v>0.005339014</v>
      </c>
      <c r="F34" s="52">
        <v>-0.003260372</v>
      </c>
      <c r="G34" s="52">
        <v>-0.002005322</v>
      </c>
    </row>
    <row r="35" spans="1:7" ht="12.75">
      <c r="A35" t="s">
        <v>43</v>
      </c>
      <c r="B35" s="52">
        <v>0.0005052276</v>
      </c>
      <c r="C35" s="52">
        <v>0.00408109</v>
      </c>
      <c r="D35" s="52">
        <v>0.004382359</v>
      </c>
      <c r="E35" s="52">
        <v>-0.005862537</v>
      </c>
      <c r="F35" s="52">
        <v>0.00527216</v>
      </c>
      <c r="G35" s="52">
        <v>0.001400413</v>
      </c>
    </row>
    <row r="36" spans="1:6" ht="12.75">
      <c r="A36" t="s">
        <v>44</v>
      </c>
      <c r="B36" s="52">
        <v>21.75598</v>
      </c>
      <c r="C36" s="52">
        <v>21.74988</v>
      </c>
      <c r="D36" s="52">
        <v>21.75293</v>
      </c>
      <c r="E36" s="52">
        <v>21.74683</v>
      </c>
      <c r="F36" s="52">
        <v>21.75903</v>
      </c>
    </row>
    <row r="37" spans="1:6" ht="12.75">
      <c r="A37" t="s">
        <v>45</v>
      </c>
      <c r="B37" s="52">
        <v>-0.09816488</v>
      </c>
      <c r="C37" s="52">
        <v>-0.06561279</v>
      </c>
      <c r="D37" s="52">
        <v>-0.04577637</v>
      </c>
      <c r="E37" s="52">
        <v>-0.03967285</v>
      </c>
      <c r="F37" s="52">
        <v>-0.03611247</v>
      </c>
    </row>
    <row r="38" spans="1:7" ht="12.75">
      <c r="A38" t="s">
        <v>56</v>
      </c>
      <c r="B38" s="52">
        <v>-4.607837E-05</v>
      </c>
      <c r="C38" s="52">
        <v>2.173799E-05</v>
      </c>
      <c r="D38" s="52">
        <v>0</v>
      </c>
      <c r="E38" s="52">
        <v>3.18716E-05</v>
      </c>
      <c r="F38" s="52">
        <v>-4.51994E-05</v>
      </c>
      <c r="G38" s="52">
        <v>0.0002401072</v>
      </c>
    </row>
    <row r="39" spans="1:7" ht="12.75">
      <c r="A39" t="s">
        <v>57</v>
      </c>
      <c r="B39" s="52">
        <v>0.0001141279</v>
      </c>
      <c r="C39" s="52">
        <v>-7.986906E-05</v>
      </c>
      <c r="D39" s="52">
        <v>-2.887765E-05</v>
      </c>
      <c r="E39" s="52">
        <v>3.768009E-05</v>
      </c>
      <c r="F39" s="52">
        <v>0</v>
      </c>
      <c r="G39" s="52">
        <v>0.0007827132</v>
      </c>
    </row>
    <row r="40" spans="2:7" ht="12.75">
      <c r="B40" t="s">
        <v>46</v>
      </c>
      <c r="C40">
        <v>-0.003744</v>
      </c>
      <c r="D40" t="s">
        <v>47</v>
      </c>
      <c r="E40">
        <v>3.117245</v>
      </c>
      <c r="F40" t="s">
        <v>48</v>
      </c>
      <c r="G40" t="s">
        <v>49</v>
      </c>
    </row>
    <row r="42" ht="12.75">
      <c r="A42" t="s">
        <v>58</v>
      </c>
    </row>
    <row r="43" spans="1:6" ht="12.75">
      <c r="A43" t="s">
        <v>50</v>
      </c>
      <c r="B43">
        <v>10</v>
      </c>
      <c r="C43">
        <v>10</v>
      </c>
      <c r="D43">
        <v>10</v>
      </c>
      <c r="E43">
        <v>10</v>
      </c>
      <c r="F43">
        <v>10</v>
      </c>
    </row>
    <row r="44" spans="1:10" ht="12.75">
      <c r="A44" t="s">
        <v>51</v>
      </c>
      <c r="B44">
        <v>12.507</v>
      </c>
      <c r="C44">
        <v>12.507</v>
      </c>
      <c r="D44">
        <v>12.507</v>
      </c>
      <c r="E44">
        <v>12.507</v>
      </c>
      <c r="F44">
        <v>12.507</v>
      </c>
      <c r="J44">
        <v>12.507</v>
      </c>
    </row>
    <row r="50" spans="1:7" ht="12.75">
      <c r="A50" t="s">
        <v>59</v>
      </c>
      <c r="B50">
        <f>-0.017/(B7*B7+B22*B22)*(B21*B22+B6*B7)</f>
        <v>-4.607836084691553E-05</v>
      </c>
      <c r="C50">
        <f>-0.017/(C7*C7+C22*C22)*(C21*C22+C6*C7)</f>
        <v>2.1737990842108345E-05</v>
      </c>
      <c r="D50">
        <f>-0.017/(D7*D7+D22*D22)*(D21*D22+D6*D7)</f>
        <v>-7.842682539135663E-07</v>
      </c>
      <c r="E50">
        <f>-0.017/(E7*E7+E22*E22)*(E21*E22+E6*E7)</f>
        <v>3.1871595637838104E-05</v>
      </c>
      <c r="F50">
        <f>-0.017/(F7*F7+F22*F22)*(F21*F22+F6*F7)</f>
        <v>-4.519939925544944E-05</v>
      </c>
      <c r="G50">
        <f>(B50*B$4+C50*C$4+D50*D$4+E50*E$4+F50*F$4)/SUM(B$4:F$4)</f>
        <v>2.2800576814716367E-09</v>
      </c>
    </row>
    <row r="51" spans="1:7" ht="12.75">
      <c r="A51" t="s">
        <v>60</v>
      </c>
      <c r="B51">
        <f>-0.017/(B7*B7+B22*B22)*(B21*B7-B6*B22)</f>
        <v>0.00011412786710312991</v>
      </c>
      <c r="C51">
        <f>-0.017/(C7*C7+C22*C22)*(C21*C7-C6*C22)</f>
        <v>-7.986906664253814E-05</v>
      </c>
      <c r="D51">
        <f>-0.017/(D7*D7+D22*D22)*(D21*D7-D6*D22)</f>
        <v>-2.8877655645863378E-05</v>
      </c>
      <c r="E51">
        <f>-0.017/(E7*E7+E22*E22)*(E21*E7-E6*E22)</f>
        <v>3.7680095337524474E-05</v>
      </c>
      <c r="F51">
        <f>-0.017/(F7*F7+F22*F22)*(F21*F7-F6*F22)</f>
        <v>4.103493104434988E-06</v>
      </c>
      <c r="G51">
        <f>(B51*B$4+C51*C$4+D51*D$4+E51*E$4+F51*F$4)/SUM(B$4:F$4)</f>
        <v>1.0454406626609415E-08</v>
      </c>
    </row>
    <row r="58" ht="12.75">
      <c r="A58" t="s">
        <v>62</v>
      </c>
    </row>
    <row r="60" spans="2:6" ht="12.75">
      <c r="B60" t="s">
        <v>6</v>
      </c>
      <c r="C60" t="s">
        <v>7</v>
      </c>
      <c r="D60" t="s">
        <v>8</v>
      </c>
      <c r="E60" t="s">
        <v>9</v>
      </c>
      <c r="F60" t="s">
        <v>10</v>
      </c>
    </row>
    <row r="61" spans="1:6" ht="12.75">
      <c r="A61" t="s">
        <v>64</v>
      </c>
      <c r="B61">
        <f>B6+(1/0.017)*(B7*B50-B22*B51)</f>
        <v>0</v>
      </c>
      <c r="C61">
        <f>C6+(1/0.017)*(C7*C50-C22*C51)</f>
        <v>0</v>
      </c>
      <c r="D61">
        <f>D6+(1/0.017)*(D7*D50-D22*D51)</f>
        <v>0</v>
      </c>
      <c r="E61">
        <f>E6+(1/0.017)*(E7*E50-E22*E51)</f>
        <v>0</v>
      </c>
      <c r="F61">
        <f>F6+(1/0.017)*(F7*F50-F22*F51)</f>
        <v>0</v>
      </c>
    </row>
    <row r="62" spans="1:6" ht="12.75">
      <c r="A62" t="s">
        <v>67</v>
      </c>
      <c r="B62">
        <f>B7+(2/0.017)*(B8*B50-B23*B51)</f>
        <v>9999.920661798637</v>
      </c>
      <c r="C62">
        <f>C7+(2/0.017)*(C8*C50-C23*C51)</f>
        <v>10000.017703404857</v>
      </c>
      <c r="D62">
        <f>D7+(2/0.017)*(D8*D50-D23*D51)</f>
        <v>10000.007077841785</v>
      </c>
      <c r="E62">
        <f>E7+(2/0.017)*(E8*E50-E23*E51)</f>
        <v>10000.015544557878</v>
      </c>
      <c r="F62">
        <f>F7+(2/0.017)*(F8*F50-F23*F51)</f>
        <v>9999.993053202017</v>
      </c>
    </row>
    <row r="63" spans="1:6" ht="12.75">
      <c r="A63" t="s">
        <v>68</v>
      </c>
      <c r="B63">
        <f>B8+(3/0.017)*(B9*B50-B24*B51)</f>
        <v>1.3108989615899747</v>
      </c>
      <c r="C63">
        <f>C8+(3/0.017)*(C9*C50-C24*C51)</f>
        <v>0.627087266748082</v>
      </c>
      <c r="D63">
        <f>D8+(3/0.017)*(D9*D50-D24*D51)</f>
        <v>1.1139256190497053</v>
      </c>
      <c r="E63">
        <f>E8+(3/0.017)*(E9*E50-E24*E51)</f>
        <v>2.279245472192963</v>
      </c>
      <c r="F63">
        <f>F8+(3/0.017)*(F9*F50-F24*F51)</f>
        <v>0.6363196511442898</v>
      </c>
    </row>
    <row r="64" spans="1:6" ht="12.75">
      <c r="A64" t="s">
        <v>69</v>
      </c>
      <c r="B64">
        <f>B9+(4/0.017)*(B10*B50-B25*B51)</f>
        <v>-0.2882789173752257</v>
      </c>
      <c r="C64">
        <f>C9+(4/0.017)*(C10*C50-C25*C51)</f>
        <v>0.5951587322539682</v>
      </c>
      <c r="D64">
        <f>D9+(4/0.017)*(D10*D50-D25*D51)</f>
        <v>-0.30324847009058037</v>
      </c>
      <c r="E64">
        <f>E9+(4/0.017)*(E10*E50-E25*E51)</f>
        <v>-0.6349402348641789</v>
      </c>
      <c r="F64">
        <f>F9+(4/0.017)*(F10*F50-F25*F51)</f>
        <v>0.023334421323930637</v>
      </c>
    </row>
    <row r="65" spans="1:6" ht="12.75">
      <c r="A65" t="s">
        <v>70</v>
      </c>
      <c r="B65">
        <f>B10+(5/0.017)*(B11*B50-B26*B51)</f>
        <v>-1.0381568875514795</v>
      </c>
      <c r="C65">
        <f>C10+(5/0.017)*(C11*C50-C26*C51)</f>
        <v>-0.057196216809164625</v>
      </c>
      <c r="D65">
        <f>D10+(5/0.017)*(D11*D50-D26*D51)</f>
        <v>-0.8847682591527802</v>
      </c>
      <c r="E65">
        <f>E10+(5/0.017)*(E11*E50-E26*E51)</f>
        <v>-2.271874903205012</v>
      </c>
      <c r="F65">
        <f>F10+(5/0.017)*(F11*F50-F26*F51)</f>
        <v>-2.3121699361083587</v>
      </c>
    </row>
    <row r="66" spans="1:6" ht="12.75">
      <c r="A66" t="s">
        <v>71</v>
      </c>
      <c r="B66">
        <f>B11+(6/0.017)*(B12*B50-B27*B51)</f>
        <v>2.014889477612407</v>
      </c>
      <c r="C66">
        <f>C11+(6/0.017)*(C12*C50-C27*C51)</f>
        <v>0.28631692545695714</v>
      </c>
      <c r="D66">
        <f>D11+(6/0.017)*(D12*D50-D27*D51)</f>
        <v>0.7389712508191234</v>
      </c>
      <c r="E66">
        <f>E11+(6/0.017)*(E12*E50-E27*E51)</f>
        <v>-0.28626223782287363</v>
      </c>
      <c r="F66">
        <f>F11+(6/0.017)*(F12*F50-F27*F51)</f>
        <v>12.56101052662681</v>
      </c>
    </row>
    <row r="67" spans="1:6" ht="12.75">
      <c r="A67" t="s">
        <v>72</v>
      </c>
      <c r="B67">
        <f>B12+(7/0.017)*(B13*B50-B28*B51)</f>
        <v>0.22698412303756227</v>
      </c>
      <c r="C67">
        <f>C12+(7/0.017)*(C13*C50-C28*C51)</f>
        <v>0.046403946576795044</v>
      </c>
      <c r="D67">
        <f>D12+(7/0.017)*(D13*D50-D28*D51)</f>
        <v>-0.15459805829989565</v>
      </c>
      <c r="E67">
        <f>E12+(7/0.017)*(E13*E50-E28*E51)</f>
        <v>-0.5068243040985977</v>
      </c>
      <c r="F67">
        <f>F12+(7/0.017)*(F13*F50-F28*F51)</f>
        <v>-0.22345396780502555</v>
      </c>
    </row>
    <row r="68" spans="1:6" ht="12.75">
      <c r="A68" t="s">
        <v>73</v>
      </c>
      <c r="B68">
        <f>B13+(8/0.017)*(B14*B50-B29*B51)</f>
        <v>-0.08574364051873476</v>
      </c>
      <c r="C68">
        <f>C13+(8/0.017)*(C14*C50-C29*C51)</f>
        <v>0.12680748743442083</v>
      </c>
      <c r="D68">
        <f>D13+(8/0.017)*(D14*D50-D29*D51)</f>
        <v>-0.005307337285326214</v>
      </c>
      <c r="E68">
        <f>E13+(8/0.017)*(E14*E50-E29*E51)</f>
        <v>-0.07895259848616151</v>
      </c>
      <c r="F68">
        <f>F13+(8/0.017)*(F14*F50-F29*F51)</f>
        <v>-0.1569880896982313</v>
      </c>
    </row>
    <row r="69" spans="1:6" ht="12.75">
      <c r="A69" t="s">
        <v>74</v>
      </c>
      <c r="B69">
        <f>B14+(9/0.017)*(B15*B50-B30*B51)</f>
        <v>-0.0992202921794188</v>
      </c>
      <c r="C69">
        <f>C14+(9/0.017)*(C15*C50-C30*C51)</f>
        <v>-0.05203353318229472</v>
      </c>
      <c r="D69">
        <f>D14+(9/0.017)*(D15*D50-D30*D51)</f>
        <v>-0.1000928471315844</v>
      </c>
      <c r="E69">
        <f>E14+(9/0.017)*(E15*E50-E30*E51)</f>
        <v>-0.04979282785299731</v>
      </c>
      <c r="F69">
        <f>F14+(9/0.017)*(F15*F50-F30*F51)</f>
        <v>0.012731150891797898</v>
      </c>
    </row>
    <row r="70" spans="1:6" ht="12.75">
      <c r="A70" t="s">
        <v>75</v>
      </c>
      <c r="B70">
        <f>B15+(10/0.017)*(B16*B50-B31*B51)</f>
        <v>-0.47208606878810544</v>
      </c>
      <c r="C70">
        <f>C15+(10/0.017)*(C16*C50-C31*C51)</f>
        <v>-0.2697403654202226</v>
      </c>
      <c r="D70">
        <f>D15+(10/0.017)*(D16*D50-D31*D51)</f>
        <v>-0.22813717919408288</v>
      </c>
      <c r="E70">
        <f>E15+(10/0.017)*(E16*E50-E31*E51)</f>
        <v>-0.2810075491003044</v>
      </c>
      <c r="F70">
        <f>F15+(10/0.017)*(F16*F50-F31*F51)</f>
        <v>-0.4335222203362601</v>
      </c>
    </row>
    <row r="71" spans="1:6" ht="12.75">
      <c r="A71" t="s">
        <v>76</v>
      </c>
      <c r="B71">
        <f>B16+(11/0.017)*(B17*B50-B32*B51)</f>
        <v>0.03626575349567689</v>
      </c>
      <c r="C71">
        <f>C16+(11/0.017)*(C17*C50-C32*C51)</f>
        <v>0.027462040922309295</v>
      </c>
      <c r="D71">
        <f>D16+(11/0.017)*(D17*D50-D32*D51)</f>
        <v>-0.0018058027209370156</v>
      </c>
      <c r="E71">
        <f>E16+(11/0.017)*(E17*E50-E32*E51)</f>
        <v>-0.06540953723943928</v>
      </c>
      <c r="F71">
        <f>F16+(11/0.017)*(F17*F50-F32*F51)</f>
        <v>-0.06808803656725165</v>
      </c>
    </row>
    <row r="72" spans="1:6" ht="12.75">
      <c r="A72" t="s">
        <v>77</v>
      </c>
      <c r="B72">
        <f>B17+(12/0.017)*(B18*B50-B33*B51)</f>
        <v>-0.017569146973175243</v>
      </c>
      <c r="C72">
        <f>C17+(12/0.017)*(C18*C50-C33*C51)</f>
        <v>-0.021861394960744535</v>
      </c>
      <c r="D72">
        <f>D17+(12/0.017)*(D18*D50-D33*D51)</f>
        <v>-0.008304972538970404</v>
      </c>
      <c r="E72">
        <f>E17+(12/0.017)*(E18*E50-E33*E51)</f>
        <v>0.011680196895436638</v>
      </c>
      <c r="F72">
        <f>F17+(12/0.017)*(F18*F50-F33*F51)</f>
        <v>-0.024678640193320788</v>
      </c>
    </row>
    <row r="73" spans="1:6" ht="12.75">
      <c r="A73" t="s">
        <v>78</v>
      </c>
      <c r="B73">
        <f>B18+(13/0.017)*(B19*B50-B34*B51)</f>
        <v>0.024220062921940896</v>
      </c>
      <c r="C73">
        <f>C18+(13/0.017)*(C19*C50-C34*C51)</f>
        <v>0.031221456382789982</v>
      </c>
      <c r="D73">
        <f>D18+(13/0.017)*(D19*D50-D34*D51)</f>
        <v>0.03113681869212027</v>
      </c>
      <c r="E73">
        <f>E18+(13/0.017)*(E19*E50-E34*E51)</f>
        <v>0.0660997045396576</v>
      </c>
      <c r="F73">
        <f>F18+(13/0.017)*(F19*F50-F34*F51)</f>
        <v>0.012911679330329849</v>
      </c>
    </row>
    <row r="74" spans="1:6" ht="12.75">
      <c r="A74" t="s">
        <v>79</v>
      </c>
      <c r="B74">
        <f>B19+(14/0.017)*(B20*B50-B35*B51)</f>
        <v>-0.19474048617809514</v>
      </c>
      <c r="C74">
        <f>C19+(14/0.017)*(C20*C50-C35*C51)</f>
        <v>-0.17197373493947607</v>
      </c>
      <c r="D74">
        <f>D19+(14/0.017)*(D20*D50-D35*D51)</f>
        <v>-0.18400093555132643</v>
      </c>
      <c r="E74">
        <f>E19+(14/0.017)*(E20*E50-E35*E51)</f>
        <v>-0.18659438768888928</v>
      </c>
      <c r="F74">
        <f>F19+(14/0.017)*(F20*F50-F35*F51)</f>
        <v>-0.14483486589271902</v>
      </c>
    </row>
    <row r="75" spans="1:6" ht="12.75">
      <c r="A75" t="s">
        <v>80</v>
      </c>
      <c r="B75" s="52">
        <f>B20</f>
        <v>-0.000722035</v>
      </c>
      <c r="C75" s="52">
        <f>C20</f>
        <v>0.0002588166</v>
      </c>
      <c r="D75" s="52">
        <f>D20</f>
        <v>0.004884984</v>
      </c>
      <c r="E75" s="52">
        <f>E20</f>
        <v>0.005158413</v>
      </c>
      <c r="F75" s="52">
        <f>F20</f>
        <v>0.002986039</v>
      </c>
    </row>
    <row r="78" ht="12.75">
      <c r="A78" t="s">
        <v>62</v>
      </c>
    </row>
    <row r="80" spans="2:6" ht="12.75">
      <c r="B80" t="s">
        <v>6</v>
      </c>
      <c r="C80" t="s">
        <v>7</v>
      </c>
      <c r="D80" t="s">
        <v>8</v>
      </c>
      <c r="E80" t="s">
        <v>9</v>
      </c>
      <c r="F80" t="s">
        <v>10</v>
      </c>
    </row>
    <row r="81" spans="1:6" ht="12.75">
      <c r="A81" t="s">
        <v>81</v>
      </c>
      <c r="B81">
        <f>B21+(1/0.017)*(B7*B51+B22*B50)</f>
        <v>0</v>
      </c>
      <c r="C81">
        <f>C21+(1/0.017)*(C7*C51+C22*C50)</f>
        <v>0</v>
      </c>
      <c r="D81">
        <f>D21+(1/0.017)*(D7*D51+D22*D50)</f>
        <v>0</v>
      </c>
      <c r="E81">
        <f>E21+(1/0.017)*(E7*E51+E22*E50)</f>
        <v>0</v>
      </c>
      <c r="F81">
        <f>F21+(1/0.017)*(F7*F51+F22*F50)</f>
        <v>0</v>
      </c>
    </row>
    <row r="82" spans="1:6" ht="12.75">
      <c r="A82" t="s">
        <v>82</v>
      </c>
      <c r="B82">
        <f>B22+(2/0.017)*(B8*B51+B23*B50)</f>
        <v>128.54828454496436</v>
      </c>
      <c r="C82">
        <f>C22+(2/0.017)*(C8*C51+C23*C50)</f>
        <v>75.6250261461315</v>
      </c>
      <c r="D82">
        <f>D22+(2/0.017)*(D8*D51+D23*D50)</f>
        <v>-2.9576376537822724</v>
      </c>
      <c r="E82">
        <f>E22+(2/0.017)*(E8*E51+E23*E50)</f>
        <v>-71.55646407332405</v>
      </c>
      <c r="F82">
        <f>F22+(2/0.017)*(F8*F51+F23*F50)</f>
        <v>-140.4051618499119</v>
      </c>
    </row>
    <row r="83" spans="1:6" ht="12.75">
      <c r="A83" t="s">
        <v>83</v>
      </c>
      <c r="B83">
        <f>B23+(3/0.017)*(B9*B51+B24*B50)</f>
        <v>5.355412623261482</v>
      </c>
      <c r="C83">
        <f>C23+(3/0.017)*(C9*C51+C24*C50)</f>
        <v>1.7108303843503845</v>
      </c>
      <c r="D83">
        <f>D23+(3/0.017)*(D9*D51+D24*D50)</f>
        <v>2.1151808780533994</v>
      </c>
      <c r="E83">
        <f>E23+(3/0.017)*(E9*E51+E24*E50)</f>
        <v>-1.5766024636316147</v>
      </c>
      <c r="F83">
        <f>F23+(3/0.017)*(F9*F51+F24*F50)</f>
        <v>7.314154935222298</v>
      </c>
    </row>
    <row r="84" spans="1:6" ht="12.75">
      <c r="A84" t="s">
        <v>84</v>
      </c>
      <c r="B84">
        <f>B24+(4/0.017)*(B10*B51+B25*B50)</f>
        <v>1.1727958045039897</v>
      </c>
      <c r="C84">
        <f>C24+(4/0.017)*(C10*C51+C25*C50)</f>
        <v>0.6650170911852054</v>
      </c>
      <c r="D84">
        <f>D24+(4/0.017)*(D10*D51+D25*D50)</f>
        <v>-0.13059408895342522</v>
      </c>
      <c r="E84">
        <f>E24+(4/0.017)*(E10*E51+E25*E50)</f>
        <v>0.2634674899534131</v>
      </c>
      <c r="F84">
        <f>F24+(4/0.017)*(F10*F51+F25*F50)</f>
        <v>4.178861893641072</v>
      </c>
    </row>
    <row r="85" spans="1:6" ht="12.75">
      <c r="A85" t="s">
        <v>85</v>
      </c>
      <c r="B85">
        <f>B25+(5/0.017)*(B11*B51+B26*B50)</f>
        <v>1.1150152300642555</v>
      </c>
      <c r="C85">
        <f>C25+(5/0.017)*(C11*C51+C26*C50)</f>
        <v>0.5612725787554367</v>
      </c>
      <c r="D85">
        <f>D25+(5/0.017)*(D11*D51+D26*D50)</f>
        <v>0.4780348762268102</v>
      </c>
      <c r="E85">
        <f>E25+(5/0.017)*(E11*E51+E26*E50)</f>
        <v>-1.1364122957912153</v>
      </c>
      <c r="F85">
        <f>F25+(5/0.017)*(F11*F51+F26*F50)</f>
        <v>-0.9316992220811761</v>
      </c>
    </row>
    <row r="86" spans="1:6" ht="12.75">
      <c r="A86" t="s">
        <v>86</v>
      </c>
      <c r="B86">
        <f>B26+(6/0.017)*(B12*B51+B27*B50)</f>
        <v>0.372137041603831</v>
      </c>
      <c r="C86">
        <f>C26+(6/0.017)*(C12*C51+C27*C50)</f>
        <v>0.8037930158555993</v>
      </c>
      <c r="D86">
        <f>D26+(6/0.017)*(D12*D51+D27*D50)</f>
        <v>0.474364965828777</v>
      </c>
      <c r="E86">
        <f>E26+(6/0.017)*(E12*E51+E27*E50)</f>
        <v>0.4879976603081096</v>
      </c>
      <c r="F86">
        <f>F26+(6/0.017)*(F12*F51+F27*F50)</f>
        <v>2.2268254417735527</v>
      </c>
    </row>
    <row r="87" spans="1:6" ht="12.75">
      <c r="A87" t="s">
        <v>87</v>
      </c>
      <c r="B87">
        <f>B27+(7/0.017)*(B13*B51+B28*B50)</f>
        <v>-0.27078492209367044</v>
      </c>
      <c r="C87">
        <f>C27+(7/0.017)*(C13*C51+C28*C50)</f>
        <v>0.1297526418153928</v>
      </c>
      <c r="D87">
        <f>D27+(7/0.017)*(D13*D51+D28*D50)</f>
        <v>0.09896404973651063</v>
      </c>
      <c r="E87">
        <f>E27+(7/0.017)*(E13*E51+E28*E50)</f>
        <v>0.06730704827326305</v>
      </c>
      <c r="F87">
        <f>F27+(7/0.017)*(F13*F51+F28*F50)</f>
        <v>0.2121203554556843</v>
      </c>
    </row>
    <row r="88" spans="1:6" ht="12.75">
      <c r="A88" t="s">
        <v>88</v>
      </c>
      <c r="B88">
        <f>B28+(8/0.017)*(B14*B51+B29*B50)</f>
        <v>0.20767538743646655</v>
      </c>
      <c r="C88">
        <f>C28+(8/0.017)*(C14*C51+C29*C50)</f>
        <v>0.2610458337803317</v>
      </c>
      <c r="D88">
        <f>D28+(8/0.017)*(D14*D51+D29*D50)</f>
        <v>0.17588312247158755</v>
      </c>
      <c r="E88">
        <f>E28+(8/0.017)*(E14*E51+E29*E50)</f>
        <v>0.0671610402074145</v>
      </c>
      <c r="F88">
        <f>F28+(8/0.017)*(F14*F51+F29*F50)</f>
        <v>0.4300170459712887</v>
      </c>
    </row>
    <row r="89" spans="1:6" ht="12.75">
      <c r="A89" t="s">
        <v>89</v>
      </c>
      <c r="B89">
        <f>B29+(9/0.017)*(B15*B51+B30*B50)</f>
        <v>0.08230152742889973</v>
      </c>
      <c r="C89">
        <f>C29+(9/0.017)*(C15*C51+C30*C50)</f>
        <v>0.011728959883647016</v>
      </c>
      <c r="D89">
        <f>D29+(9/0.017)*(D15*D51+D30*D50)</f>
        <v>0.06220119631347209</v>
      </c>
      <c r="E89">
        <f>E29+(9/0.017)*(E15*E51+E30*E50)</f>
        <v>-0.0070555098764884605</v>
      </c>
      <c r="F89">
        <f>F29+(9/0.017)*(F15*F51+F30*F50)</f>
        <v>-0.016896335909891275</v>
      </c>
    </row>
    <row r="90" spans="1:6" ht="12.75">
      <c r="A90" t="s">
        <v>90</v>
      </c>
      <c r="B90">
        <f>B30+(10/0.017)*(B16*B51+B31*B50)</f>
        <v>0.004636152269401744</v>
      </c>
      <c r="C90">
        <f>C30+(10/0.017)*(C16*C51+C31*C50)</f>
        <v>0.1536682106353909</v>
      </c>
      <c r="D90">
        <f>D30+(10/0.017)*(D16*D51+D31*D50)</f>
        <v>0.0005049155673672248</v>
      </c>
      <c r="E90">
        <f>E30+(10/0.017)*(E16*E51+E31*E50)</f>
        <v>-0.014111582893000766</v>
      </c>
      <c r="F90">
        <f>F30+(10/0.017)*(F16*F51+F31*F50)</f>
        <v>0.3506591352704276</v>
      </c>
    </row>
    <row r="91" spans="1:6" ht="12.75">
      <c r="A91" t="s">
        <v>91</v>
      </c>
      <c r="B91">
        <f>B31+(11/0.017)*(B17*B51+B32*B50)</f>
        <v>-0.07597135882153933</v>
      </c>
      <c r="C91">
        <f>C31+(11/0.017)*(C17*C51+C32*C50)</f>
        <v>0.004766120452670625</v>
      </c>
      <c r="D91">
        <f>D31+(11/0.017)*(D17*D51+D32*D50)</f>
        <v>0.0009660114298459884</v>
      </c>
      <c r="E91">
        <f>E31+(11/0.017)*(E17*E51+E32*E50)</f>
        <v>0.012023408792208973</v>
      </c>
      <c r="F91">
        <f>F31+(11/0.017)*(F17*F51+F32*F50)</f>
        <v>0.0142928453211463</v>
      </c>
    </row>
    <row r="92" spans="1:6" ht="12.75">
      <c r="A92" t="s">
        <v>92</v>
      </c>
      <c r="B92">
        <f>B32+(12/0.017)*(B18*B51+B33*B50)</f>
        <v>0.06248477384927751</v>
      </c>
      <c r="C92">
        <f>C32+(12/0.017)*(C18*C51+C33*C50)</f>
        <v>0.06421011747600414</v>
      </c>
      <c r="D92">
        <f>D32+(12/0.017)*(D18*D51+D33*D50)</f>
        <v>0.06753557562245913</v>
      </c>
      <c r="E92">
        <f>E32+(12/0.017)*(E18*E51+E33*E50)</f>
        <v>0.0341061057890094</v>
      </c>
      <c r="F92">
        <f>F32+(12/0.017)*(F18*F51+F33*F50)</f>
        <v>0.03723138442839341</v>
      </c>
    </row>
    <row r="93" spans="1:6" ht="12.75">
      <c r="A93" t="s">
        <v>93</v>
      </c>
      <c r="B93">
        <f>B33+(13/0.017)*(B19*B51+B34*B50)</f>
        <v>0.0688030669825456</v>
      </c>
      <c r="C93">
        <f>C33+(13/0.017)*(C19*C51+C34*C50)</f>
        <v>0.0747148474700446</v>
      </c>
      <c r="D93">
        <f>D33+(13/0.017)*(D19*D51+D34*D50)</f>
        <v>0.07662269483077931</v>
      </c>
      <c r="E93">
        <f>E33+(13/0.017)*(E19*E51+E34*E50)</f>
        <v>0.10182151522676364</v>
      </c>
      <c r="F93">
        <f>F33+(13/0.017)*(F19*F51+F34*F50)</f>
        <v>0.04727109020635688</v>
      </c>
    </row>
    <row r="94" spans="1:6" ht="12.75">
      <c r="A94" t="s">
        <v>94</v>
      </c>
      <c r="B94">
        <f>B34+(14/0.017)*(B20*B51+B35*B50)</f>
        <v>-0.016153494190506473</v>
      </c>
      <c r="C94">
        <f>C34+(14/0.017)*(C20*C51+C35*C50)</f>
        <v>0.0021544606232241853</v>
      </c>
      <c r="D94">
        <f>D34+(14/0.017)*(D20*D51+D35*D50)</f>
        <v>-0.004514874154799945</v>
      </c>
      <c r="E94">
        <f>E34+(14/0.017)*(E20*E51+E35*E50)</f>
        <v>0.00534520783466838</v>
      </c>
      <c r="F94">
        <f>F34+(14/0.017)*(F20*F51+F35*F50)</f>
        <v>-0.0034465269318032653</v>
      </c>
    </row>
    <row r="95" spans="1:6" ht="12.75">
      <c r="A95" t="s">
        <v>95</v>
      </c>
      <c r="B95" s="52">
        <f>B35</f>
        <v>0.0005052276</v>
      </c>
      <c r="C95" s="52">
        <f>C35</f>
        <v>0.00408109</v>
      </c>
      <c r="D95" s="52">
        <f>D35</f>
        <v>0.004382359</v>
      </c>
      <c r="E95" s="52">
        <f>E35</f>
        <v>-0.005862537</v>
      </c>
      <c r="F95" s="52">
        <f>F35</f>
        <v>0.00527216</v>
      </c>
    </row>
    <row r="98" ht="12.75">
      <c r="A98" t="s">
        <v>63</v>
      </c>
    </row>
    <row r="100" spans="2:11" ht="12.75">
      <c r="B100" t="s">
        <v>6</v>
      </c>
      <c r="C100" t="s">
        <v>7</v>
      </c>
      <c r="D100" t="s">
        <v>8</v>
      </c>
      <c r="E100" t="s">
        <v>9</v>
      </c>
      <c r="F100" t="s">
        <v>10</v>
      </c>
      <c r="G100" t="s">
        <v>65</v>
      </c>
      <c r="H100" t="s">
        <v>66</v>
      </c>
      <c r="I100" t="s">
        <v>61</v>
      </c>
      <c r="K100" t="s">
        <v>96</v>
      </c>
    </row>
    <row r="101" spans="1:9" ht="12.75">
      <c r="A101" t="s">
        <v>64</v>
      </c>
      <c r="B101">
        <f>B61*10000/B62</f>
        <v>0</v>
      </c>
      <c r="C101">
        <f>C61*10000/C62</f>
        <v>0</v>
      </c>
      <c r="D101">
        <f>D61*10000/D62</f>
        <v>0</v>
      </c>
      <c r="E101">
        <f>E61*10000/E62</f>
        <v>0</v>
      </c>
      <c r="F101">
        <f>F61*10000/F62</f>
        <v>0</v>
      </c>
      <c r="G101">
        <f>AVERAGE(C101:E101)</f>
        <v>0</v>
      </c>
      <c r="H101">
        <f>STDEV(C101:E101)</f>
        <v>0</v>
      </c>
      <c r="I101">
        <f>(B101*B4+C101*C4+D101*D4+E101*E4+F101*F4)/SUM(B4:F4)</f>
        <v>0</v>
      </c>
    </row>
    <row r="102" spans="1:9" ht="12.75">
      <c r="A102" t="s">
        <v>67</v>
      </c>
      <c r="B102">
        <f>B62*10000/B62</f>
        <v>10000</v>
      </c>
      <c r="C102">
        <f>C62*10000/C62</f>
        <v>10000</v>
      </c>
      <c r="D102">
        <f>D62*10000/D62</f>
        <v>10000</v>
      </c>
      <c r="E102">
        <f>E62*10000/E62</f>
        <v>10000</v>
      </c>
      <c r="F102">
        <f>F62*10000/F62</f>
        <v>10000</v>
      </c>
      <c r="G102">
        <f>AVERAGE(C102:E102)</f>
        <v>10000</v>
      </c>
      <c r="H102">
        <f>STDEV(C102:E102)</f>
        <v>0</v>
      </c>
      <c r="I102">
        <f>(B102*B4+C102*C4+D102*D4+E102*E4+F102*F4)/SUM(B4:F4)</f>
        <v>9999.999999999998</v>
      </c>
    </row>
    <row r="103" spans="1:11" ht="12.75">
      <c r="A103" t="s">
        <v>68</v>
      </c>
      <c r="B103">
        <f>B63*10000/B62</f>
        <v>1.3109093621090688</v>
      </c>
      <c r="C103">
        <f>C63*10000/C62</f>
        <v>0.627086156592071</v>
      </c>
      <c r="D103">
        <f>D63*10000/D62</f>
        <v>1.1139248306313343</v>
      </c>
      <c r="E103">
        <f>E63*10000/E62</f>
        <v>2.279241929212154</v>
      </c>
      <c r="F103">
        <f>F63*10000/F62</f>
        <v>0.6363200931830038</v>
      </c>
      <c r="G103">
        <f>AVERAGE(C103:E103)</f>
        <v>1.3400843054785199</v>
      </c>
      <c r="H103">
        <f>STDEV(C103:E103)</f>
        <v>0.8489792431489898</v>
      </c>
      <c r="I103">
        <f>(B103*B4+C103*C4+D103*D4+E103*E4+F103*F4)/SUM(B4:F4)</f>
        <v>1.2421178439220373</v>
      </c>
      <c r="K103">
        <f>(LN(H103)+LN(H123))/2-LN(K114*K115^3)</f>
        <v>-3.6076649539488788</v>
      </c>
    </row>
    <row r="104" spans="1:11" ht="12.75">
      <c r="A104" t="s">
        <v>69</v>
      </c>
      <c r="B104">
        <f>B64*10000/B62</f>
        <v>-0.2882812045464513</v>
      </c>
      <c r="C104">
        <f>C64*10000/C62</f>
        <v>0.5951576786222343</v>
      </c>
      <c r="D104">
        <f>D64*10000/D62</f>
        <v>-0.303248255456263</v>
      </c>
      <c r="E104">
        <f>E64*10000/E62</f>
        <v>-0.6349392478791901</v>
      </c>
      <c r="F104">
        <f>F64*10000/F62</f>
        <v>0.023334437533892995</v>
      </c>
      <c r="G104">
        <f>AVERAGE(C104:E104)</f>
        <v>-0.11434327490440625</v>
      </c>
      <c r="H104">
        <f>STDEV(C104:E104)</f>
        <v>0.6364341528430382</v>
      </c>
      <c r="I104">
        <f>(B104*B4+C104*C4+D104*D4+E104*E4+F104*F4)/SUM(B4:F4)</f>
        <v>-0.12122908921275936</v>
      </c>
      <c r="K104">
        <f>(LN(H104)+LN(H124))/2-LN(K114*K115^4)</f>
        <v>-3.9740641877498657</v>
      </c>
    </row>
    <row r="105" spans="1:11" ht="12.75">
      <c r="A105" t="s">
        <v>70</v>
      </c>
      <c r="B105">
        <f>B65*10000/B62</f>
        <v>-1.0381651241668464</v>
      </c>
      <c r="C105">
        <f>C65*10000/C62</f>
        <v>-0.05719611555256564</v>
      </c>
      <c r="D105">
        <f>D65*10000/D62</f>
        <v>-0.884767632928248</v>
      </c>
      <c r="E105">
        <f>E65*10000/E62</f>
        <v>-2.271871371681409</v>
      </c>
      <c r="F105">
        <f>F65*10000/F62</f>
        <v>-2.3121715423272193</v>
      </c>
      <c r="G105">
        <f>AVERAGE(C105:E105)</f>
        <v>-1.0712783733874076</v>
      </c>
      <c r="H105">
        <f>STDEV(C105:E105)</f>
        <v>1.1190559926819157</v>
      </c>
      <c r="I105">
        <f>(B105*B4+C105*C4+D105*D4+E105*E4+F105*F4)/SUM(B4:F4)</f>
        <v>-1.2317839853404124</v>
      </c>
      <c r="K105">
        <f>(LN(H105)+LN(H125))/2-LN(K114*K115^5)</f>
        <v>-2.6616401912397127</v>
      </c>
    </row>
    <row r="106" spans="1:11" ht="12.75">
      <c r="A106" t="s">
        <v>71</v>
      </c>
      <c r="B106">
        <f>B66*10000/B62</f>
        <v>2.014905463509946</v>
      </c>
      <c r="C106">
        <f>C66*10000/C62</f>
        <v>0.2863164185794096</v>
      </c>
      <c r="D106">
        <f>D66*10000/D62</f>
        <v>0.7389707277873339</v>
      </c>
      <c r="E106">
        <f>E66*10000/E62</f>
        <v>-0.2862617928415729</v>
      </c>
      <c r="F106">
        <f>F66*10000/F62</f>
        <v>12.56101925251313</v>
      </c>
      <c r="G106">
        <f>AVERAGE(C106:E106)</f>
        <v>0.24634178450839017</v>
      </c>
      <c r="H106">
        <f>STDEV(C106:E106)</f>
        <v>0.513783912618534</v>
      </c>
      <c r="I106">
        <f>(B106*B4+C106*C4+D106*D4+E106*E4+F106*F4)/SUM(B4:F4)</f>
        <v>2.1433505590499697</v>
      </c>
      <c r="K106">
        <f>(LN(H106)+LN(H126))/2-LN(K114*K115^6)</f>
        <v>-3.277560961487399</v>
      </c>
    </row>
    <row r="107" spans="1:11" ht="12.75">
      <c r="A107" t="s">
        <v>72</v>
      </c>
      <c r="B107">
        <f>B67*10000/B62</f>
        <v>0.226985923903056</v>
      </c>
      <c r="C107">
        <f>C67*10000/C62</f>
        <v>0.046403864426155156</v>
      </c>
      <c r="D107">
        <f>D67*10000/D62</f>
        <v>-0.1545979488779134</v>
      </c>
      <c r="E107">
        <f>E67*10000/E62</f>
        <v>-0.5068235162638495</v>
      </c>
      <c r="F107">
        <f>F67*10000/F62</f>
        <v>-0.22345412303409068</v>
      </c>
      <c r="G107">
        <f>AVERAGE(C107:E107)</f>
        <v>-0.2050058669052026</v>
      </c>
      <c r="H107">
        <f>STDEV(C107:E107)</f>
        <v>0.28003723383894014</v>
      </c>
      <c r="I107">
        <f>(B107*B4+C107*C4+D107*D4+E107*E4+F107*F4)/SUM(B4:F4)</f>
        <v>-0.14478585528896842</v>
      </c>
      <c r="K107">
        <f>(LN(H107)+LN(H127))/2-LN(K114*K115^7)</f>
        <v>-3.8830036819668488</v>
      </c>
    </row>
    <row r="108" spans="1:9" ht="12.75">
      <c r="A108" t="s">
        <v>73</v>
      </c>
      <c r="B108">
        <f>B68*10000/B62</f>
        <v>-0.0857443207987537</v>
      </c>
      <c r="C108">
        <f>C68*10000/C62</f>
        <v>0.12680726294238934</v>
      </c>
      <c r="D108">
        <f>D68*10000/D62</f>
        <v>-0.005307333528879512</v>
      </c>
      <c r="E108">
        <f>E68*10000/E62</f>
        <v>-0.0789524757580286</v>
      </c>
      <c r="F108">
        <f>F68*10000/F62</f>
        <v>-0.15698819875476155</v>
      </c>
      <c r="G108">
        <f>AVERAGE(C108:E108)</f>
        <v>0.014182484551827074</v>
      </c>
      <c r="H108">
        <f>STDEV(C108:E108)</f>
        <v>0.10425525058302984</v>
      </c>
      <c r="I108">
        <f>(B108*B4+C108*C4+D108*D4+E108*E4+F108*F4)/SUM(B4:F4)</f>
        <v>-0.0231168383602722</v>
      </c>
    </row>
    <row r="109" spans="1:9" ht="12.75">
      <c r="A109" t="s">
        <v>74</v>
      </c>
      <c r="B109">
        <f>B69*10000/B62</f>
        <v>-0.09922107938161635</v>
      </c>
      <c r="C109">
        <f>C69*10000/C62</f>
        <v>-0.05203344106538739</v>
      </c>
      <c r="D109">
        <f>D69*10000/D62</f>
        <v>-0.10009277628750096</v>
      </c>
      <c r="E109">
        <f>E69*10000/E62</f>
        <v>-0.04979275045236818</v>
      </c>
      <c r="F109">
        <f>F69*10000/F62</f>
        <v>0.012731159735877375</v>
      </c>
      <c r="G109">
        <f>AVERAGE(C109:E109)</f>
        <v>-0.06730632260175218</v>
      </c>
      <c r="H109">
        <f>STDEV(C109:E109)</f>
        <v>0.028415996068616545</v>
      </c>
      <c r="I109">
        <f>(B109*B4+C109*C4+D109*D4+E109*E4+F109*F4)/SUM(B4:F4)</f>
        <v>-0.06127323131974096</v>
      </c>
    </row>
    <row r="110" spans="1:11" ht="12.75">
      <c r="A110" t="s">
        <v>75</v>
      </c>
      <c r="B110">
        <f>B70*10000/B62</f>
        <v>-0.47208981426378</v>
      </c>
      <c r="C110">
        <f>C70*10000/C62</f>
        <v>-0.2697398878887785</v>
      </c>
      <c r="D110">
        <f>D70*10000/D62</f>
        <v>-0.22813701772231118</v>
      </c>
      <c r="E110">
        <f>E70*10000/E62</f>
        <v>-0.2810071122871723</v>
      </c>
      <c r="F110">
        <f>F70*10000/F62</f>
        <v>-0.4335225214955979</v>
      </c>
      <c r="G110">
        <f>AVERAGE(C110:E110)</f>
        <v>-0.2596280059660873</v>
      </c>
      <c r="H110">
        <f>STDEV(C110:E110)</f>
        <v>0.027847788814162777</v>
      </c>
      <c r="I110">
        <f>(B110*B4+C110*C4+D110*D4+E110*E4+F110*F4)/SUM(B4:F4)</f>
        <v>-0.3136219389321013</v>
      </c>
      <c r="K110">
        <f>EXP(AVERAGE(K103:K107))</f>
        <v>0.03078318144032084</v>
      </c>
    </row>
    <row r="111" spans="1:9" ht="12.75">
      <c r="A111" t="s">
        <v>76</v>
      </c>
      <c r="B111">
        <f>B71*10000/B62</f>
        <v>0.03626604122392502</v>
      </c>
      <c r="C111">
        <f>C71*10000/C62</f>
        <v>0.0274619923052325</v>
      </c>
      <c r="D111">
        <f>D71*10000/D62</f>
        <v>-0.001805801442819325</v>
      </c>
      <c r="E111">
        <f>E71*10000/E62</f>
        <v>-0.0654094355633636</v>
      </c>
      <c r="F111">
        <f>F71*10000/F62</f>
        <v>-0.06808808386666802</v>
      </c>
      <c r="G111">
        <f>AVERAGE(C111:E111)</f>
        <v>-0.013251081566983472</v>
      </c>
      <c r="H111">
        <f>STDEV(C111:E111)</f>
        <v>0.04748180026524271</v>
      </c>
      <c r="I111">
        <f>(B111*B4+C111*C4+D111*D4+E111*E4+F111*F4)/SUM(B4:F4)</f>
        <v>-0.013371817191292615</v>
      </c>
    </row>
    <row r="112" spans="1:9" ht="12.75">
      <c r="A112" t="s">
        <v>77</v>
      </c>
      <c r="B112">
        <f>B72*10000/B62</f>
        <v>-0.017569286364733185</v>
      </c>
      <c r="C112">
        <f>C72*10000/C62</f>
        <v>-0.02186135625870048</v>
      </c>
      <c r="D112">
        <f>D72*10000/D62</f>
        <v>-0.008304966660846399</v>
      </c>
      <c r="E112">
        <f>E72*10000/E62</f>
        <v>0.011680178739115194</v>
      </c>
      <c r="F112">
        <f>F72*10000/F62</f>
        <v>-0.024678657337085488</v>
      </c>
      <c r="G112">
        <f>AVERAGE(C112:E112)</f>
        <v>-0.006162048060143896</v>
      </c>
      <c r="H112">
        <f>STDEV(C112:E112)</f>
        <v>0.01687313597406691</v>
      </c>
      <c r="I112">
        <f>(B112*B4+C112*C4+D112*D4+E112*E4+F112*F4)/SUM(B4:F4)</f>
        <v>-0.010283647610604107</v>
      </c>
    </row>
    <row r="113" spans="1:9" ht="12.75">
      <c r="A113" t="s">
        <v>78</v>
      </c>
      <c r="B113">
        <f>B73*10000/B62</f>
        <v>0.024220255081088368</v>
      </c>
      <c r="C113">
        <f>C73*10000/C62</f>
        <v>0.031221401110279576</v>
      </c>
      <c r="D113">
        <f>D73*10000/D62</f>
        <v>0.031136796653988233</v>
      </c>
      <c r="E113">
        <f>E73*10000/E62</f>
        <v>0.06609960179074903</v>
      </c>
      <c r="F113">
        <f>F73*10000/F62</f>
        <v>0.012911688299818874</v>
      </c>
      <c r="G113">
        <f>AVERAGE(C113:E113)</f>
        <v>0.04281926651833895</v>
      </c>
      <c r="H113">
        <f>STDEV(C113:E113)</f>
        <v>0.020161406133386916</v>
      </c>
      <c r="I113">
        <f>(B113*B4+C113*C4+D113*D4+E113*E4+F113*F4)/SUM(B4:F4)</f>
        <v>0.03613739432951749</v>
      </c>
    </row>
    <row r="114" spans="1:11" ht="12.75">
      <c r="A114" t="s">
        <v>79</v>
      </c>
      <c r="B114">
        <f>B74*10000/B62</f>
        <v>-0.1947420312263439</v>
      </c>
      <c r="C114">
        <f>C74*10000/C62</f>
        <v>-0.1719734304879496</v>
      </c>
      <c r="D114">
        <f>D74*10000/D62</f>
        <v>-0.1840008053184676</v>
      </c>
      <c r="E114">
        <f>E74*10000/E62</f>
        <v>-0.18659409763661425</v>
      </c>
      <c r="F114">
        <f>F74*10000/F62</f>
        <v>-0.14483496650664435</v>
      </c>
      <c r="G114">
        <f>AVERAGE(C114:E114)</f>
        <v>-0.18085611114767716</v>
      </c>
      <c r="H114">
        <f>STDEV(C114:E114)</f>
        <v>0.007801141136965985</v>
      </c>
      <c r="I114">
        <f>(B114*B4+C114*C4+D114*D4+E114*E4+F114*F4)/SUM(B4:F4)</f>
        <v>-0.17807237062606024</v>
      </c>
      <c r="J114" t="s">
        <v>97</v>
      </c>
      <c r="K114">
        <v>285</v>
      </c>
    </row>
    <row r="115" spans="1:11" ht="12.75">
      <c r="A115" t="s">
        <v>80</v>
      </c>
      <c r="B115">
        <f>B75*10000/B62</f>
        <v>-0.0007220407285412713</v>
      </c>
      <c r="C115">
        <f>C75*10000/C62</f>
        <v>0.0002588161418073058</v>
      </c>
      <c r="D115">
        <f>D75*10000/D62</f>
        <v>0.00488498054248806</v>
      </c>
      <c r="E115">
        <f>E75*10000/E62</f>
        <v>0.00515840498148752</v>
      </c>
      <c r="F115">
        <f>F75*10000/F62</f>
        <v>0.002986041074342411</v>
      </c>
      <c r="G115">
        <f>AVERAGE(C115:E115)</f>
        <v>0.0034340672219276285</v>
      </c>
      <c r="H115">
        <f>STDEV(C115:E115)</f>
        <v>0.0027532444129271375</v>
      </c>
      <c r="I115">
        <f>(B115*B4+C115*C4+D115*D4+E115*E4+F115*F4)/SUM(B4:F4)</f>
        <v>0.0027712539029825386</v>
      </c>
      <c r="J115" t="s">
        <v>98</v>
      </c>
      <c r="K115">
        <v>0.5536</v>
      </c>
    </row>
    <row r="118" ht="12.75">
      <c r="A118" t="s">
        <v>63</v>
      </c>
    </row>
    <row r="120" spans="2:9" ht="12.75">
      <c r="B120" t="s">
        <v>6</v>
      </c>
      <c r="C120" t="s">
        <v>7</v>
      </c>
      <c r="D120" t="s">
        <v>8</v>
      </c>
      <c r="E120" t="s">
        <v>9</v>
      </c>
      <c r="F120" t="s">
        <v>10</v>
      </c>
      <c r="G120" t="s">
        <v>65</v>
      </c>
      <c r="H120" t="s">
        <v>66</v>
      </c>
      <c r="I120" t="s">
        <v>61</v>
      </c>
    </row>
    <row r="121" spans="1:9" ht="12.75">
      <c r="A121" t="s">
        <v>81</v>
      </c>
      <c r="B121">
        <f>B81*10000/B62</f>
        <v>0</v>
      </c>
      <c r="C121">
        <f>C81*10000/C62</f>
        <v>0</v>
      </c>
      <c r="D121">
        <f>D81*10000/D62</f>
        <v>0</v>
      </c>
      <c r="E121">
        <f>E81*10000/E62</f>
        <v>0</v>
      </c>
      <c r="F121">
        <f>F81*10000/F62</f>
        <v>0</v>
      </c>
      <c r="G121">
        <f>AVERAGE(C121:E121)</f>
        <v>0</v>
      </c>
      <c r="H121">
        <f>STDEV(C121:E121)</f>
        <v>0</v>
      </c>
      <c r="I121">
        <f>(B121*B4+C121*C4+D121*D4+E121*E4+F121*F4)/SUM(B4:F4)</f>
        <v>0</v>
      </c>
    </row>
    <row r="122" spans="1:9" ht="12.75">
      <c r="A122" t="s">
        <v>82</v>
      </c>
      <c r="B122">
        <f>B82*10000/B62</f>
        <v>128.54930443202437</v>
      </c>
      <c r="C122">
        <f>C82*10000/C62</f>
        <v>75.624892264323</v>
      </c>
      <c r="D122">
        <f>D82*10000/D62</f>
        <v>-2.957635560414617</v>
      </c>
      <c r="E122">
        <f>E82*10000/E62</f>
        <v>-71.55635284213722</v>
      </c>
      <c r="F122">
        <f>F82*10000/F62</f>
        <v>-140.40525938660917</v>
      </c>
      <c r="G122">
        <f>AVERAGE(C122:E122)</f>
        <v>0.3703012872570544</v>
      </c>
      <c r="H122">
        <f>STDEV(C122:E122)</f>
        <v>73.64703728269417</v>
      </c>
      <c r="I122">
        <f>(B122*B4+C122*C4+D122*D4+E122*E4+F122*F4)/SUM(B4:F4)</f>
        <v>0.21632234886914953</v>
      </c>
    </row>
    <row r="123" spans="1:9" ht="12.75">
      <c r="A123" t="s">
        <v>83</v>
      </c>
      <c r="B123">
        <f>B83*10000/B62</f>
        <v>5.355455112479093</v>
      </c>
      <c r="C123">
        <f>C83*10000/C62</f>
        <v>1.7108273556034526</v>
      </c>
      <c r="D123">
        <f>D83*10000/D62</f>
        <v>2.115179380962899</v>
      </c>
      <c r="E123">
        <f>E83*10000/E62</f>
        <v>-1.5766000128765996</v>
      </c>
      <c r="F123">
        <f>F83*10000/F62</f>
        <v>7.314160016221503</v>
      </c>
      <c r="G123">
        <f>AVERAGE(C123:E123)</f>
        <v>0.7498022412299173</v>
      </c>
      <c r="H123">
        <f>STDEV(C123:E123)</f>
        <v>2.024842148424658</v>
      </c>
      <c r="I123">
        <f>(B123*B4+C123*C4+D123*D4+E123*E4+F123*F4)/SUM(B4:F4)</f>
        <v>2.292413247122377</v>
      </c>
    </row>
    <row r="124" spans="1:9" ht="12.75">
      <c r="A124" t="s">
        <v>84</v>
      </c>
      <c r="B124">
        <f>B84*10000/B62</f>
        <v>1.1728051093287821</v>
      </c>
      <c r="C124">
        <f>C84*10000/C62</f>
        <v>0.6650159138806094</v>
      </c>
      <c r="D124">
        <f>D84*10000/D62</f>
        <v>-0.13059399652106068</v>
      </c>
      <c r="E124">
        <f>E84*10000/E62</f>
        <v>0.2634670804054851</v>
      </c>
      <c r="F124">
        <f>F84*10000/F62</f>
        <v>4.178864796614026</v>
      </c>
      <c r="G124">
        <f>AVERAGE(C124:E124)</f>
        <v>0.26596299925501127</v>
      </c>
      <c r="H124">
        <f>STDEV(C124:E124)</f>
        <v>0.3978108276436377</v>
      </c>
      <c r="I124">
        <f>(B124*B4+C124*C4+D124*D4+E124*E4+F124*F4)/SUM(B4:F4)</f>
        <v>0.9188027028578637</v>
      </c>
    </row>
    <row r="125" spans="1:9" ht="12.75">
      <c r="A125" t="s">
        <v>85</v>
      </c>
      <c r="B125">
        <f>B85*10000/B62</f>
        <v>1.115024076464726</v>
      </c>
      <c r="C125">
        <f>C85*10000/C62</f>
        <v>0.5612715851136261</v>
      </c>
      <c r="D125">
        <f>D85*10000/D62</f>
        <v>0.47803453788152744</v>
      </c>
      <c r="E125">
        <f>E85*10000/E62</f>
        <v>-1.1364105292912907</v>
      </c>
      <c r="F125">
        <f>F85*10000/F62</f>
        <v>-0.9316998693142533</v>
      </c>
      <c r="G125">
        <f>AVERAGE(C125:E125)</f>
        <v>-0.03236813543204575</v>
      </c>
      <c r="H125">
        <f>STDEV(C125:E125)</f>
        <v>0.9570341201267689</v>
      </c>
      <c r="I125">
        <f>(B125*B4+C125*C4+D125*D4+E125*E4+F125*F4)/SUM(B4:F4)</f>
        <v>0.014283100106559808</v>
      </c>
    </row>
    <row r="126" spans="1:9" ht="12.75">
      <c r="A126" t="s">
        <v>86</v>
      </c>
      <c r="B126">
        <f>B86*10000/B62</f>
        <v>0.3721399940956097</v>
      </c>
      <c r="C126">
        <f>C86*10000/C62</f>
        <v>0.8037915928708003</v>
      </c>
      <c r="D126">
        <f>D86*10000/D62</f>
        <v>0.474364630080997</v>
      </c>
      <c r="E126">
        <f>E86*10000/E62</f>
        <v>0.48799690173850124</v>
      </c>
      <c r="F126">
        <f>F86*10000/F62</f>
        <v>2.226826988705276</v>
      </c>
      <c r="G126">
        <f>AVERAGE(C126:E126)</f>
        <v>0.5887177082300995</v>
      </c>
      <c r="H126">
        <f>STDEV(C126:E126)</f>
        <v>0.1863841237832959</v>
      </c>
      <c r="I126">
        <f>(B126*B4+C126*C4+D126*D4+E126*E4+F126*F4)/SUM(B4:F4)</f>
        <v>0.7755113345626732</v>
      </c>
    </row>
    <row r="127" spans="1:9" ht="12.75">
      <c r="A127" t="s">
        <v>87</v>
      </c>
      <c r="B127">
        <f>B87*10000/B62</f>
        <v>-0.27078707046958284</v>
      </c>
      <c r="C127">
        <f>C87*10000/C62</f>
        <v>0.12975241210944452</v>
      </c>
      <c r="D127">
        <f>D87*10000/D62</f>
        <v>0.09896397969137156</v>
      </c>
      <c r="E127">
        <f>E87*10000/E62</f>
        <v>0.06730694364759493</v>
      </c>
      <c r="F127">
        <f>F87*10000/F62</f>
        <v>0.2121205028115124</v>
      </c>
      <c r="G127">
        <f>AVERAGE(C127:E127)</f>
        <v>0.09867444514947034</v>
      </c>
      <c r="H127">
        <f>STDEV(C127:E127)</f>
        <v>0.031223741056176764</v>
      </c>
      <c r="I127">
        <f>(B127*B4+C127*C4+D127*D4+E127*E4+F127*F4)/SUM(B4:F4)</f>
        <v>0.06017870461040397</v>
      </c>
    </row>
    <row r="128" spans="1:9" ht="12.75">
      <c r="A128" t="s">
        <v>88</v>
      </c>
      <c r="B128">
        <f>B88*10000/B62</f>
        <v>0.20767703510870955</v>
      </c>
      <c r="C128">
        <f>C88*10000/C62</f>
        <v>0.26104537164114167</v>
      </c>
      <c r="D128">
        <f>D88*10000/D62</f>
        <v>0.1758829979843843</v>
      </c>
      <c r="E128">
        <f>E88*10000/E62</f>
        <v>0.06716093580870912</v>
      </c>
      <c r="F128">
        <f>F88*10000/F62</f>
        <v>0.430017344695651</v>
      </c>
      <c r="G128">
        <f>AVERAGE(C128:E128)</f>
        <v>0.16802976847807835</v>
      </c>
      <c r="H128">
        <f>STDEV(C128:E128)</f>
        <v>0.09718049456950817</v>
      </c>
      <c r="I128">
        <f>(B128*B4+C128*C4+D128*D4+E128*E4+F128*F4)/SUM(B4:F4)</f>
        <v>0.2086810935212275</v>
      </c>
    </row>
    <row r="129" spans="1:9" ht="12.75">
      <c r="A129" t="s">
        <v>89</v>
      </c>
      <c r="B129">
        <f>B89*10000/B62</f>
        <v>0.08230218039959586</v>
      </c>
      <c r="C129">
        <f>C89*10000/C62</f>
        <v>0.011728939119431238</v>
      </c>
      <c r="D129">
        <f>D89*10000/D62</f>
        <v>0.06220115228848062</v>
      </c>
      <c r="E129">
        <f>E89*10000/E62</f>
        <v>-0.007055498909027345</v>
      </c>
      <c r="F129">
        <f>F89*10000/F62</f>
        <v>-0.01689634764744265</v>
      </c>
      <c r="G129">
        <f>AVERAGE(C129:E129)</f>
        <v>0.022291530832961506</v>
      </c>
      <c r="H129">
        <f>STDEV(C129:E129)</f>
        <v>0.035816158246710014</v>
      </c>
      <c r="I129">
        <f>(B129*B4+C129*C4+D129*D4+E129*E4+F129*F4)/SUM(B4:F4)</f>
        <v>0.025776151383670086</v>
      </c>
    </row>
    <row r="130" spans="1:9" ht="12.75">
      <c r="A130" t="s">
        <v>90</v>
      </c>
      <c r="B130">
        <f>B90*10000/B62</f>
        <v>0.004636189052091801</v>
      </c>
      <c r="C130">
        <f>C90*10000/C62</f>
        <v>0.15366793859081787</v>
      </c>
      <c r="D130">
        <f>D90*10000/D62</f>
        <v>0.0005049152099962276</v>
      </c>
      <c r="E130">
        <f>E90*10000/E62</f>
        <v>-0.014111560957203161</v>
      </c>
      <c r="F130">
        <f>F90*10000/F62</f>
        <v>0.3506593788664142</v>
      </c>
      <c r="G130">
        <f>AVERAGE(C130:E130)</f>
        <v>0.04668709761453698</v>
      </c>
      <c r="H130">
        <f>STDEV(C130:E130)</f>
        <v>0.09293592198865196</v>
      </c>
      <c r="I130">
        <f>(B130*B4+C130*C4+D130*D4+E130*E4+F130*F4)/SUM(B4:F4)</f>
        <v>0.08108047697988494</v>
      </c>
    </row>
    <row r="131" spans="1:9" ht="12.75">
      <c r="A131" t="s">
        <v>91</v>
      </c>
      <c r="B131">
        <f>B91*10000/B62</f>
        <v>-0.07597196156941782</v>
      </c>
      <c r="C131">
        <f>C91*10000/C62</f>
        <v>0.0047661120150295656</v>
      </c>
      <c r="D131">
        <f>D91*10000/D62</f>
        <v>0.0009660107461188661</v>
      </c>
      <c r="E131">
        <f>E91*10000/E62</f>
        <v>0.012023390102380639</v>
      </c>
      <c r="F131">
        <f>F91*10000/F62</f>
        <v>0.0142928552501041</v>
      </c>
      <c r="G131">
        <f>AVERAGE(C131:E131)</f>
        <v>0.005918504287843023</v>
      </c>
      <c r="H131">
        <f>STDEV(C131:E131)</f>
        <v>0.00561804374492591</v>
      </c>
      <c r="I131">
        <f>(B131*B4+C131*C4+D131*D4+E131*E4+F131*F4)/SUM(B4:F4)</f>
        <v>-0.004847701204213657</v>
      </c>
    </row>
    <row r="132" spans="1:9" ht="12.75">
      <c r="A132" t="s">
        <v>92</v>
      </c>
      <c r="B132">
        <f>B92*10000/B62</f>
        <v>0.06248526959616765</v>
      </c>
      <c r="C132">
        <f>C92*10000/C62</f>
        <v>0.06421000380243481</v>
      </c>
      <c r="D132">
        <f>D92*10000/D62</f>
        <v>0.06753552782188105</v>
      </c>
      <c r="E132">
        <f>E92*10000/E62</f>
        <v>0.03410605277265827</v>
      </c>
      <c r="F132">
        <f>F92*10000/F62</f>
        <v>0.037231410292302</v>
      </c>
      <c r="G132">
        <f>AVERAGE(C132:E132)</f>
        <v>0.05528386146565804</v>
      </c>
      <c r="H132">
        <f>STDEV(C132:E132)</f>
        <v>0.018415739552864883</v>
      </c>
      <c r="I132">
        <f>(B132*B4+C132*C4+D132*D4+E132*E4+F132*F4)/SUM(B4:F4)</f>
        <v>0.05392322636798213</v>
      </c>
    </row>
    <row r="133" spans="1:9" ht="12.75">
      <c r="A133" t="s">
        <v>93</v>
      </c>
      <c r="B133">
        <f>B93*10000/B62</f>
        <v>0.06880361285803475</v>
      </c>
      <c r="C133">
        <f>C93*10000/C62</f>
        <v>0.07471471519955941</v>
      </c>
      <c r="D133">
        <f>D93*10000/D62</f>
        <v>0.07662264059848659</v>
      </c>
      <c r="E133">
        <f>E93*10000/E62</f>
        <v>0.101821356949966</v>
      </c>
      <c r="F133">
        <f>F93*10000/F62</f>
        <v>0.0472711230446511</v>
      </c>
      <c r="G133">
        <f>AVERAGE(C133:E133)</f>
        <v>0.08438623758267066</v>
      </c>
      <c r="H133">
        <f>STDEV(C133:E133)</f>
        <v>0.015129361696576799</v>
      </c>
      <c r="I133">
        <f>(B133*B4+C133*C4+D133*D4+E133*E4+F133*F4)/SUM(B4:F4)</f>
        <v>0.0771816729079143</v>
      </c>
    </row>
    <row r="134" spans="1:9" ht="12.75">
      <c r="A134" t="s">
        <v>94</v>
      </c>
      <c r="B134">
        <f>B94*10000/B62</f>
        <v>-0.016153622350440752</v>
      </c>
      <c r="C134">
        <f>C94*10000/C62</f>
        <v>0.0021544568091020713</v>
      </c>
      <c r="D134">
        <f>D94*10000/D62</f>
        <v>-0.004514870959245712</v>
      </c>
      <c r="E134">
        <f>E94*10000/E62</f>
        <v>0.005345199525792039</v>
      </c>
      <c r="F134">
        <f>F94*10000/F62</f>
        <v>-0.0034465293260375622</v>
      </c>
      <c r="G134">
        <f>AVERAGE(C134:E134)</f>
        <v>0.0009949284585494662</v>
      </c>
      <c r="H134">
        <f>STDEV(C134:E134)</f>
        <v>0.005031264949222967</v>
      </c>
      <c r="I134">
        <f>(B134*B4+C134*C4+D134*D4+E134*E4+F134*F4)/SUM(B4:F4)</f>
        <v>-0.0020845638891392</v>
      </c>
    </row>
    <row r="135" spans="1:9" ht="12.75">
      <c r="A135" t="s">
        <v>95</v>
      </c>
      <c r="B135">
        <f>B95*10000/B62</f>
        <v>0.0005052316084167084</v>
      </c>
      <c r="C135">
        <f>C95*10000/C62</f>
        <v>0.004081082775093938</v>
      </c>
      <c r="D135">
        <f>D95*10000/D62</f>
        <v>0.004382355898237831</v>
      </c>
      <c r="E135">
        <f>E95*10000/E62</f>
        <v>-0.005862527886959595</v>
      </c>
      <c r="F135">
        <f>F95*10000/F62</f>
        <v>0.005272163662465589</v>
      </c>
      <c r="G135">
        <f>AVERAGE(C135:E135)</f>
        <v>0.0008669702621240579</v>
      </c>
      <c r="H135">
        <f>STDEV(C135:E135)</f>
        <v>0.005829862809498389</v>
      </c>
      <c r="I135">
        <f>(B135*B4+C135*C4+D135*D4+E135*E4+F135*F4)/SUM(B4:F4)</f>
        <v>0.001401069006064469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Lissner</dc:creator>
  <cp:keywords/>
  <dc:description/>
  <cp:lastModifiedBy>Per HAGEN</cp:lastModifiedBy>
  <cp:lastPrinted>2005-12-09T10:25:00Z</cp:lastPrinted>
  <dcterms:created xsi:type="dcterms:W3CDTF">2005-12-09T10:25:00Z</dcterms:created>
  <dcterms:modified xsi:type="dcterms:W3CDTF">2005-12-09T12:04:05Z</dcterms:modified>
  <cp:category/>
  <cp:version/>
  <cp:contentType/>
  <cp:contentStatus/>
</cp:coreProperties>
</file>